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400" windowHeight="8760" activeTab="5"/>
  </bookViews>
  <sheets>
    <sheet name="Production" sheetId="1" r:id="rId1"/>
    <sheet name="Seasonal" sheetId="5" r:id="rId2"/>
    <sheet name="staff" sheetId="6" r:id="rId3"/>
    <sheet name="employee" sheetId="4" r:id="rId4"/>
    <sheet name="Income &amp; Expenses" sheetId="2" r:id="rId5"/>
    <sheet name="Debt Service" sheetId="3" r:id="rId6"/>
  </sheets>
  <definedNames>
    <definedName name="phase0execpay">staff!#REF!</definedName>
    <definedName name="phase1budget">Production!$E$81</definedName>
    <definedName name="phase1contingency">Production!$E$83</definedName>
    <definedName name="phase1employeepay">employee!$B$93</definedName>
    <definedName name="phase1employeeqty">employee!$B$87</definedName>
    <definedName name="phase1execpay">staff!$B$18</definedName>
    <definedName name="phase1expenses">'Income &amp; Expenses'!$E$23</definedName>
    <definedName name="phase1housing">employee!$G$87</definedName>
    <definedName name="phase1income">'Income &amp; Expenses'!$E$12</definedName>
    <definedName name="phase1seasonal">employee!$G$93</definedName>
    <definedName name="phase1supportstaff">staff!$B$26</definedName>
    <definedName name="phase1supportstaffpay">staff!$B$31</definedName>
    <definedName name="phase1visitors">'Income &amp; Expenses'!$D$9</definedName>
    <definedName name="phase2budget">Production!$E$143</definedName>
    <definedName name="phase2contingency">Production!$E$145</definedName>
    <definedName name="phase2employeepay">employee!$C$93</definedName>
    <definedName name="phase2employeeqty">employee!$C$87</definedName>
    <definedName name="phase2execpay">staff!$C$18</definedName>
    <definedName name="phase2expenses">'Income &amp; Expenses'!$E$44</definedName>
    <definedName name="phase2housing">employee!$H$87</definedName>
    <definedName name="phase2income">'Income &amp; Expenses'!$E$33</definedName>
    <definedName name="phase2seasonal">employee!$H$93</definedName>
    <definedName name="phase2supportstaff">staff!$C$26</definedName>
    <definedName name="phase2supportstaffpay">staff!$C$31</definedName>
    <definedName name="phase2visitors">'Income &amp; Expenses'!$D$30</definedName>
    <definedName name="phase3budget">Production!$E$204</definedName>
    <definedName name="phase3contingency">Production!$E$206</definedName>
    <definedName name="phase3employeepay">employee!$D$93</definedName>
    <definedName name="phase3employeeqty">employee!$D$87</definedName>
    <definedName name="phase3execpay">staff!$D$18</definedName>
    <definedName name="phase3expenses">'Income &amp; Expenses'!$E$70</definedName>
    <definedName name="phase3housing">employee!$I$87</definedName>
    <definedName name="phase3income">'Income &amp; Expenses'!$E$57</definedName>
    <definedName name="phase3seasonal">employee!$I$93</definedName>
    <definedName name="phase3supportstaff">staff!$D$26</definedName>
    <definedName name="phase3supportstaffpay">staff!$D$31</definedName>
    <definedName name="phase3visitors">'Income &amp; Expenses'!$D$54</definedName>
    <definedName name="phase4budget">Production!$E$252</definedName>
    <definedName name="phase4contingency">Production!$E$254</definedName>
    <definedName name="phase4employeepay">employee!$E$93</definedName>
    <definedName name="phase4employeeqty">employee!$E$87</definedName>
    <definedName name="phase4execpay">staff!$E$18</definedName>
    <definedName name="phase4expenses">'Income &amp; Expenses'!$E$94</definedName>
    <definedName name="phase4housing">employee!$J$87</definedName>
    <definedName name="phase4income">'Income &amp; Expenses'!$E$82</definedName>
    <definedName name="phase4seasonal">employee!$J$93</definedName>
    <definedName name="phase4supportstaff">staff!$E$26</definedName>
    <definedName name="phase4supportstaffpay">staff!$E$31</definedName>
    <definedName name="phase4visitors">'Income &amp; Expenses'!$D$79</definedName>
    <definedName name="seasonalhousingcost">'Income &amp; Expenses'!$C$4</definedName>
    <definedName name="TotalDebtReduction">'Debt Service'!$G$14</definedName>
    <definedName name="TotalFinaced">'Debt Service'!$G$8</definedName>
  </definedNames>
  <calcPr calcId="125725"/>
</workbook>
</file>

<file path=xl/calcChain.xml><?xml version="1.0" encoding="utf-8"?>
<calcChain xmlns="http://schemas.openxmlformats.org/spreadsheetml/2006/main">
  <c r="E123" i="2"/>
  <c r="E121"/>
  <c r="E120"/>
  <c r="E119"/>
  <c r="E105"/>
  <c r="E104"/>
  <c r="E103"/>
  <c r="E102"/>
  <c r="E106" s="1"/>
  <c r="E87"/>
  <c r="E63"/>
  <c r="E37"/>
  <c r="C87"/>
  <c r="C94" s="1"/>
  <c r="C63"/>
  <c r="C70" s="1"/>
  <c r="C37"/>
  <c r="C44" s="1"/>
  <c r="E16"/>
  <c r="C16"/>
  <c r="C23" s="1"/>
  <c r="E62"/>
  <c r="E86"/>
  <c r="E36"/>
  <c r="E15"/>
  <c r="C31" i="6"/>
  <c r="E26"/>
  <c r="D26"/>
  <c r="C26"/>
  <c r="B26"/>
  <c r="D16"/>
  <c r="D17" s="1"/>
  <c r="D18" s="1"/>
  <c r="C16"/>
  <c r="C17" s="1"/>
  <c r="C18" s="1"/>
  <c r="B16"/>
  <c r="E16"/>
  <c r="E17" s="1"/>
  <c r="E29"/>
  <c r="E30" s="1"/>
  <c r="D29"/>
  <c r="D30" s="1"/>
  <c r="C29"/>
  <c r="C30" s="1"/>
  <c r="B29"/>
  <c r="B30" s="1"/>
  <c r="C88" i="2"/>
  <c r="C38"/>
  <c r="C17"/>
  <c r="C64"/>
  <c r="C89"/>
  <c r="E90" s="1"/>
  <c r="C65"/>
  <c r="E66" s="1"/>
  <c r="C39"/>
  <c r="E40" s="1"/>
  <c r="C18"/>
  <c r="E19" s="1"/>
  <c r="E89"/>
  <c r="E65"/>
  <c r="E39"/>
  <c r="E18"/>
  <c r="E88"/>
  <c r="E64"/>
  <c r="E38"/>
  <c r="O87" i="4"/>
  <c r="N87"/>
  <c r="M87"/>
  <c r="L87"/>
  <c r="O47"/>
  <c r="N47"/>
  <c r="M47"/>
  <c r="L47"/>
  <c r="O68"/>
  <c r="N68"/>
  <c r="M68"/>
  <c r="L68"/>
  <c r="O67"/>
  <c r="N67"/>
  <c r="M67"/>
  <c r="L67"/>
  <c r="O66"/>
  <c r="N66"/>
  <c r="M66"/>
  <c r="L66"/>
  <c r="E68"/>
  <c r="J68"/>
  <c r="I68"/>
  <c r="H68"/>
  <c r="G68"/>
  <c r="D68"/>
  <c r="C68"/>
  <c r="O63"/>
  <c r="N63"/>
  <c r="M63"/>
  <c r="L63"/>
  <c r="O62"/>
  <c r="N62"/>
  <c r="M62"/>
  <c r="L62"/>
  <c r="O61"/>
  <c r="N61"/>
  <c r="M61"/>
  <c r="L61"/>
  <c r="O60"/>
  <c r="N60"/>
  <c r="M60"/>
  <c r="L60"/>
  <c r="O59"/>
  <c r="N59"/>
  <c r="M59"/>
  <c r="L59"/>
  <c r="O55"/>
  <c r="N55"/>
  <c r="M55"/>
  <c r="L55"/>
  <c r="O54"/>
  <c r="N54"/>
  <c r="M54"/>
  <c r="L54"/>
  <c r="O53"/>
  <c r="O56" s="1"/>
  <c r="O76" s="1"/>
  <c r="N53"/>
  <c r="M53"/>
  <c r="M56" s="1"/>
  <c r="M76" s="1"/>
  <c r="L53"/>
  <c r="L56" s="1"/>
  <c r="L76" s="1"/>
  <c r="O49"/>
  <c r="N49"/>
  <c r="M49"/>
  <c r="L49"/>
  <c r="O48"/>
  <c r="N48"/>
  <c r="M48"/>
  <c r="L48"/>
  <c r="O46"/>
  <c r="O50" s="1"/>
  <c r="O74" s="1"/>
  <c r="N46"/>
  <c r="N50" s="1"/>
  <c r="N74" s="1"/>
  <c r="M46"/>
  <c r="M50" s="1"/>
  <c r="M74" s="1"/>
  <c r="L46"/>
  <c r="L50" s="1"/>
  <c r="L74" s="1"/>
  <c r="B17" i="6"/>
  <c r="B18" s="1"/>
  <c r="O78" i="4"/>
  <c r="O77"/>
  <c r="N78"/>
  <c r="N77"/>
  <c r="M78"/>
  <c r="M77"/>
  <c r="L78"/>
  <c r="L77"/>
  <c r="J78"/>
  <c r="I78"/>
  <c r="H78"/>
  <c r="G78"/>
  <c r="G71"/>
  <c r="E78"/>
  <c r="D78"/>
  <c r="C78"/>
  <c r="B68"/>
  <c r="B78" s="1"/>
  <c r="H63"/>
  <c r="H77" s="1"/>
  <c r="G63"/>
  <c r="G77" s="1"/>
  <c r="C63"/>
  <c r="C77" s="1"/>
  <c r="B63"/>
  <c r="B77" s="1"/>
  <c r="C56"/>
  <c r="C76" s="1"/>
  <c r="B56"/>
  <c r="B76" s="1"/>
  <c r="H56"/>
  <c r="H76" s="1"/>
  <c r="G56"/>
  <c r="G76" s="1"/>
  <c r="G50"/>
  <c r="G74" s="1"/>
  <c r="B50"/>
  <c r="B74" s="1"/>
  <c r="G43"/>
  <c r="B43"/>
  <c r="O42"/>
  <c r="N42"/>
  <c r="M42"/>
  <c r="L42"/>
  <c r="O41"/>
  <c r="N41"/>
  <c r="M41"/>
  <c r="L41"/>
  <c r="O40"/>
  <c r="O43" s="1"/>
  <c r="N40"/>
  <c r="N43" s="1"/>
  <c r="M40"/>
  <c r="M43" s="1"/>
  <c r="L40"/>
  <c r="L43" s="1"/>
  <c r="O32"/>
  <c r="N32"/>
  <c r="M32"/>
  <c r="L32"/>
  <c r="J36"/>
  <c r="J73" s="1"/>
  <c r="I36"/>
  <c r="I73" s="1"/>
  <c r="H36"/>
  <c r="H73" s="1"/>
  <c r="G36"/>
  <c r="G73" s="1"/>
  <c r="E36"/>
  <c r="E73" s="1"/>
  <c r="D36"/>
  <c r="D73" s="1"/>
  <c r="C36"/>
  <c r="C73" s="1"/>
  <c r="B36"/>
  <c r="B73" s="1"/>
  <c r="O35"/>
  <c r="N35"/>
  <c r="M35"/>
  <c r="L35"/>
  <c r="O34"/>
  <c r="N34"/>
  <c r="M34"/>
  <c r="L34"/>
  <c r="O33"/>
  <c r="N33"/>
  <c r="M33"/>
  <c r="L33"/>
  <c r="O31"/>
  <c r="N31"/>
  <c r="M31"/>
  <c r="L31"/>
  <c r="O30"/>
  <c r="N30"/>
  <c r="M30"/>
  <c r="L30"/>
  <c r="O29"/>
  <c r="N29"/>
  <c r="M29"/>
  <c r="L29"/>
  <c r="O28"/>
  <c r="N28"/>
  <c r="M28"/>
  <c r="L28"/>
  <c r="O27"/>
  <c r="N27"/>
  <c r="M27"/>
  <c r="L27"/>
  <c r="O26"/>
  <c r="N26"/>
  <c r="M26"/>
  <c r="L26"/>
  <c r="O25"/>
  <c r="O36" s="1"/>
  <c r="O73" s="1"/>
  <c r="N25"/>
  <c r="N36" s="1"/>
  <c r="N73" s="1"/>
  <c r="M25"/>
  <c r="M36" s="1"/>
  <c r="M73" s="1"/>
  <c r="L25"/>
  <c r="L36" s="1"/>
  <c r="L73" s="1"/>
  <c r="O21"/>
  <c r="N21"/>
  <c r="M21"/>
  <c r="L21"/>
  <c r="O20"/>
  <c r="N20"/>
  <c r="M20"/>
  <c r="L20"/>
  <c r="O19"/>
  <c r="N19"/>
  <c r="M19"/>
  <c r="L19"/>
  <c r="O15"/>
  <c r="O14"/>
  <c r="O13"/>
  <c r="N15"/>
  <c r="N14"/>
  <c r="N13"/>
  <c r="M15"/>
  <c r="M14"/>
  <c r="M13"/>
  <c r="L15"/>
  <c r="L14"/>
  <c r="L13"/>
  <c r="O8"/>
  <c r="N8"/>
  <c r="M8"/>
  <c r="L8"/>
  <c r="F3" i="5"/>
  <c r="F6" s="1"/>
  <c r="F13" s="1"/>
  <c r="F19" s="1"/>
  <c r="E3"/>
  <c r="E6" s="1"/>
  <c r="E13" s="1"/>
  <c r="E19" s="1"/>
  <c r="D3"/>
  <c r="D6" s="1"/>
  <c r="D13" s="1"/>
  <c r="D19" s="1"/>
  <c r="C3"/>
  <c r="C6" s="1"/>
  <c r="C13" s="1"/>
  <c r="C19" s="1"/>
  <c r="B8"/>
  <c r="J8" i="4"/>
  <c r="I8"/>
  <c r="H8"/>
  <c r="G8"/>
  <c r="E8"/>
  <c r="D8"/>
  <c r="C8"/>
  <c r="B8"/>
  <c r="E90"/>
  <c r="D90"/>
  <c r="C90"/>
  <c r="J63"/>
  <c r="J77" s="1"/>
  <c r="I63"/>
  <c r="I77" s="1"/>
  <c r="E63"/>
  <c r="E77" s="1"/>
  <c r="D63"/>
  <c r="D77" s="1"/>
  <c r="J56"/>
  <c r="J76" s="1"/>
  <c r="I56"/>
  <c r="I76" s="1"/>
  <c r="E56"/>
  <c r="E76" s="1"/>
  <c r="D56"/>
  <c r="D76" s="1"/>
  <c r="J50"/>
  <c r="J74" s="1"/>
  <c r="I50"/>
  <c r="I74" s="1"/>
  <c r="H50"/>
  <c r="H74" s="1"/>
  <c r="E50"/>
  <c r="E74" s="1"/>
  <c r="D50"/>
  <c r="D74" s="1"/>
  <c r="C50"/>
  <c r="C74" s="1"/>
  <c r="J43"/>
  <c r="I43"/>
  <c r="H43"/>
  <c r="E43"/>
  <c r="D43"/>
  <c r="C43"/>
  <c r="J22"/>
  <c r="J72" s="1"/>
  <c r="I22"/>
  <c r="I72" s="1"/>
  <c r="H22"/>
  <c r="H72" s="1"/>
  <c r="G22"/>
  <c r="G72" s="1"/>
  <c r="E22"/>
  <c r="E72" s="1"/>
  <c r="D22"/>
  <c r="D72" s="1"/>
  <c r="C22"/>
  <c r="C72" s="1"/>
  <c r="B22"/>
  <c r="B72" s="1"/>
  <c r="J16"/>
  <c r="J71" s="1"/>
  <c r="I16"/>
  <c r="I71" s="1"/>
  <c r="H16"/>
  <c r="H71" s="1"/>
  <c r="E16"/>
  <c r="E71" s="1"/>
  <c r="D16"/>
  <c r="D71" s="1"/>
  <c r="C16"/>
  <c r="C71" s="1"/>
  <c r="B16"/>
  <c r="B71" s="1"/>
  <c r="E31" i="6" l="1"/>
  <c r="D31"/>
  <c r="B31"/>
  <c r="E18"/>
  <c r="F5" i="5"/>
  <c r="F12" s="1"/>
  <c r="F18" s="1"/>
  <c r="F7"/>
  <c r="F14" s="1"/>
  <c r="F20" s="1"/>
  <c r="F4"/>
  <c r="F11" s="1"/>
  <c r="F17" s="1"/>
  <c r="N56" i="4"/>
  <c r="N76" s="1"/>
  <c r="J79"/>
  <c r="J87" s="1"/>
  <c r="J91" s="1"/>
  <c r="J92" s="1"/>
  <c r="J93" s="1"/>
  <c r="H79"/>
  <c r="H87" s="1"/>
  <c r="H91" s="1"/>
  <c r="H92" s="1"/>
  <c r="H93" s="1"/>
  <c r="C79"/>
  <c r="C87" s="1"/>
  <c r="C91" s="1"/>
  <c r="C92" s="1"/>
  <c r="C93" s="1"/>
  <c r="E79"/>
  <c r="E87" s="1"/>
  <c r="E91" s="1"/>
  <c r="E92" s="1"/>
  <c r="E93" s="1"/>
  <c r="I79"/>
  <c r="I87" s="1"/>
  <c r="I91" s="1"/>
  <c r="D79"/>
  <c r="D87" s="1"/>
  <c r="D91" s="1"/>
  <c r="G79"/>
  <c r="G87" s="1"/>
  <c r="G91" s="1"/>
  <c r="M16"/>
  <c r="M71" s="1"/>
  <c r="O16"/>
  <c r="O71" s="1"/>
  <c r="O22"/>
  <c r="O72" s="1"/>
  <c r="L16"/>
  <c r="L71" s="1"/>
  <c r="N16"/>
  <c r="N71" s="1"/>
  <c r="N22"/>
  <c r="N72" s="1"/>
  <c r="M22"/>
  <c r="M72" s="1"/>
  <c r="B79"/>
  <c r="L22"/>
  <c r="L72" s="1"/>
  <c r="C5" i="5"/>
  <c r="C12" s="1"/>
  <c r="C18" s="1"/>
  <c r="C7"/>
  <c r="C14" s="1"/>
  <c r="C20" s="1"/>
  <c r="D5"/>
  <c r="D12" s="1"/>
  <c r="D18" s="1"/>
  <c r="D7"/>
  <c r="D14" s="1"/>
  <c r="D20" s="1"/>
  <c r="E5"/>
  <c r="E12" s="1"/>
  <c r="E18" s="1"/>
  <c r="E7"/>
  <c r="E14" s="1"/>
  <c r="E20" s="1"/>
  <c r="C4"/>
  <c r="C11" s="1"/>
  <c r="C17" s="1"/>
  <c r="D4"/>
  <c r="D11" s="1"/>
  <c r="D17" s="1"/>
  <c r="E4"/>
  <c r="E11" s="1"/>
  <c r="E17" s="1"/>
  <c r="F7" i="3"/>
  <c r="E7"/>
  <c r="D7"/>
  <c r="F6"/>
  <c r="F8" s="1"/>
  <c r="F11" s="1"/>
  <c r="E6"/>
  <c r="D6"/>
  <c r="D8" s="1"/>
  <c r="D11" s="1"/>
  <c r="C7"/>
  <c r="G7" s="1"/>
  <c r="C6"/>
  <c r="C8" s="1"/>
  <c r="C10" s="1"/>
  <c r="C12" s="1"/>
  <c r="E93" i="2"/>
  <c r="D81"/>
  <c r="D80"/>
  <c r="E80" s="1"/>
  <c r="E81" s="1"/>
  <c r="E79"/>
  <c r="E69"/>
  <c r="D56"/>
  <c r="D55"/>
  <c r="E55" s="1"/>
  <c r="E56" s="1"/>
  <c r="E54"/>
  <c r="E43"/>
  <c r="E44" s="1"/>
  <c r="E110" s="1"/>
  <c r="D32"/>
  <c r="D31"/>
  <c r="E31" s="1"/>
  <c r="E32" s="1"/>
  <c r="E30"/>
  <c r="E22"/>
  <c r="D11"/>
  <c r="D10"/>
  <c r="E10" s="1"/>
  <c r="E11" s="1"/>
  <c r="E9"/>
  <c r="E270" i="1"/>
  <c r="E269"/>
  <c r="E268"/>
  <c r="E267"/>
  <c r="E271" s="1"/>
  <c r="E274" s="1"/>
  <c r="E225"/>
  <c r="E248" s="1"/>
  <c r="E242"/>
  <c r="E251" s="1"/>
  <c r="E236"/>
  <c r="E250" s="1"/>
  <c r="E230"/>
  <c r="E249" s="1"/>
  <c r="E195"/>
  <c r="E203" s="1"/>
  <c r="E183"/>
  <c r="E201" s="1"/>
  <c r="E138"/>
  <c r="E134"/>
  <c r="E65"/>
  <c r="E189"/>
  <c r="E202" s="1"/>
  <c r="E142"/>
  <c r="E176"/>
  <c r="E200" s="1"/>
  <c r="E128"/>
  <c r="E141" s="1"/>
  <c r="E120"/>
  <c r="E140" s="1"/>
  <c r="E79"/>
  <c r="E59"/>
  <c r="E78" s="1"/>
  <c r="E52"/>
  <c r="E77" s="1"/>
  <c r="E34"/>
  <c r="E75" s="1"/>
  <c r="E13"/>
  <c r="E15" s="1"/>
  <c r="E24"/>
  <c r="E74" s="1"/>
  <c r="E41"/>
  <c r="E76" s="1"/>
  <c r="E71"/>
  <c r="E80" s="1"/>
  <c r="E220"/>
  <c r="E247" s="1"/>
  <c r="E213"/>
  <c r="E164"/>
  <c r="E199" s="1"/>
  <c r="E156"/>
  <c r="E198" s="1"/>
  <c r="E104"/>
  <c r="E114"/>
  <c r="E139" s="1"/>
  <c r="E96"/>
  <c r="E137" s="1"/>
  <c r="I92" i="4" l="1"/>
  <c r="I93" s="1"/>
  <c r="G92"/>
  <c r="G93" s="1"/>
  <c r="D92"/>
  <c r="D93" s="1"/>
  <c r="N79"/>
  <c r="B87"/>
  <c r="B91" s="1"/>
  <c r="L79"/>
  <c r="O79"/>
  <c r="M79"/>
  <c r="E8" i="3"/>
  <c r="E11" s="1"/>
  <c r="E12" i="2"/>
  <c r="C17" i="3" s="1"/>
  <c r="E94" i="2"/>
  <c r="D18" i="3"/>
  <c r="E57" i="2"/>
  <c r="E17" i="3" s="1"/>
  <c r="E33" i="2"/>
  <c r="E70"/>
  <c r="C15" i="3"/>
  <c r="D10" s="1"/>
  <c r="D12" s="1"/>
  <c r="C14"/>
  <c r="G6"/>
  <c r="E82" i="2"/>
  <c r="F17" i="3" s="1"/>
  <c r="E246" i="1"/>
  <c r="E252" s="1"/>
  <c r="E204"/>
  <c r="E143"/>
  <c r="E16"/>
  <c r="E73" s="1"/>
  <c r="E81" s="1"/>
  <c r="E18" i="3" l="1"/>
  <c r="E19" s="1"/>
  <c r="E22" s="1"/>
  <c r="E111" i="2"/>
  <c r="F18" i="3"/>
  <c r="F19" s="1"/>
  <c r="F22" s="1"/>
  <c r="E112" i="2"/>
  <c r="E96"/>
  <c r="B92" i="4"/>
  <c r="B93" s="1"/>
  <c r="E17" i="2" s="1"/>
  <c r="E23" s="1"/>
  <c r="E109" s="1"/>
  <c r="E113" s="1"/>
  <c r="E115" s="1"/>
  <c r="G8" i="3"/>
  <c r="E46" i="2"/>
  <c r="E59"/>
  <c r="E72"/>
  <c r="D17" i="3"/>
  <c r="D19" s="1"/>
  <c r="D22" s="1"/>
  <c r="D14"/>
  <c r="D15" s="1"/>
  <c r="E10" s="1"/>
  <c r="E12" s="1"/>
  <c r="E14" s="1"/>
  <c r="E15" s="1"/>
  <c r="F10" s="1"/>
  <c r="F12" s="1"/>
  <c r="F14" s="1"/>
  <c r="F15" s="1"/>
  <c r="E84" i="1"/>
  <c r="E259"/>
  <c r="E207"/>
  <c r="E261"/>
  <c r="E146"/>
  <c r="E260"/>
  <c r="E255"/>
  <c r="E262"/>
  <c r="C18" i="3" l="1"/>
  <c r="C19" s="1"/>
  <c r="C22" s="1"/>
  <c r="C23" s="1"/>
  <c r="D21" s="1"/>
  <c r="D23" s="1"/>
  <c r="E21" s="1"/>
  <c r="E23" s="1"/>
  <c r="F21" s="1"/>
  <c r="F23" s="1"/>
  <c r="E25" i="2"/>
  <c r="G14" i="3"/>
  <c r="E263" i="1"/>
  <c r="E273" s="1"/>
  <c r="E275" s="1"/>
</calcChain>
</file>

<file path=xl/sharedStrings.xml><?xml version="1.0" encoding="utf-8"?>
<sst xmlns="http://schemas.openxmlformats.org/spreadsheetml/2006/main" count="476" uniqueCount="262">
  <si>
    <t>President CEO</t>
  </si>
  <si>
    <t>Annual</t>
  </si>
  <si>
    <t>Project Manager</t>
  </si>
  <si>
    <t>Marketing Director</t>
  </si>
  <si>
    <t xml:space="preserve"> 30% for taxes, etc</t>
  </si>
  <si>
    <t xml:space="preserve"> Annual Total</t>
  </si>
  <si>
    <t>Infrastructure</t>
  </si>
  <si>
    <t>Lake Petersburg</t>
  </si>
  <si>
    <t>Railroad</t>
  </si>
  <si>
    <t>Liverpool Locomotive</t>
  </si>
  <si>
    <t>Manager - preopening</t>
  </si>
  <si>
    <t>Fixtures &amp; Décor</t>
  </si>
  <si>
    <t>Initial Merchandise</t>
  </si>
  <si>
    <t xml:space="preserve">  Total</t>
  </si>
  <si>
    <t>Summary</t>
  </si>
  <si>
    <t>Site Plan</t>
  </si>
  <si>
    <t xml:space="preserve"> </t>
  </si>
  <si>
    <t>Staff - Pre-operational</t>
  </si>
  <si>
    <t>2 Bathroom Buildings</t>
  </si>
  <si>
    <t>Theme Parks</t>
  </si>
  <si>
    <t>Fort Henry</t>
  </si>
  <si>
    <t>Civil War Fortifications</t>
  </si>
  <si>
    <t>Sidings</t>
  </si>
  <si>
    <t>Train Shed</t>
  </si>
  <si>
    <t>Contingency</t>
  </si>
  <si>
    <t>TOTAL</t>
  </si>
  <si>
    <t>Phase 1</t>
  </si>
  <si>
    <t>Phase 2</t>
  </si>
  <si>
    <t>Phase 3</t>
  </si>
  <si>
    <t>Uncle Remus House</t>
  </si>
  <si>
    <t>Wildlife Preserve</t>
  </si>
  <si>
    <t>Aviary</t>
  </si>
  <si>
    <t>Boat Facility</t>
  </si>
  <si>
    <t>Playground</t>
  </si>
  <si>
    <t>Sleeper Car, Mail Car</t>
  </si>
  <si>
    <t>Sidings, Switches</t>
  </si>
  <si>
    <t>GRAND TOTAL</t>
  </si>
  <si>
    <t xml:space="preserve"> Contingency Fund</t>
  </si>
  <si>
    <t>Phase 4</t>
  </si>
  <si>
    <t>Increase Bathroom size x 4</t>
  </si>
  <si>
    <t>Appomattox Locomotive Works</t>
  </si>
  <si>
    <t>Locomotive Roundhouse</t>
  </si>
  <si>
    <t>City of Industry</t>
  </si>
  <si>
    <t>Contingency Fund</t>
  </si>
  <si>
    <t>Retail Stores</t>
  </si>
  <si>
    <t>Add Locomotive Works, City of Industry  - Expand Attractions</t>
  </si>
  <si>
    <t xml:space="preserve">   subtotal</t>
  </si>
  <si>
    <t>Other</t>
  </si>
  <si>
    <t>Martketing (Advertising &amp; Promotion)</t>
  </si>
  <si>
    <t>Insurance</t>
  </si>
  <si>
    <t>Southside Station Reconstruction</t>
  </si>
  <si>
    <t>Gift Shop, Snack Bar, Exhibits</t>
  </si>
  <si>
    <t>Uriah Wells Locomotive</t>
  </si>
  <si>
    <t>Bookkeeper / Assistant</t>
  </si>
  <si>
    <t>Get First Train Into operation</t>
  </si>
  <si>
    <t>Roper Lumber Buldings Demolition</t>
  </si>
  <si>
    <t>Exhibits / Museum</t>
  </si>
  <si>
    <t>Office Expenses</t>
  </si>
  <si>
    <t>Early America &amp; Battle for Petersburg Added</t>
  </si>
  <si>
    <t>Grading, Trails, Landscaping</t>
  </si>
  <si>
    <t>Appomattox Indian Village</t>
  </si>
  <si>
    <t>Pocahontas Locomotive</t>
  </si>
  <si>
    <t>2 Baggage Cars</t>
  </si>
  <si>
    <t>Gardens, Livestock</t>
  </si>
  <si>
    <t>Mechanical Engineer</t>
  </si>
  <si>
    <t>Landscaping</t>
  </si>
  <si>
    <t>Researchers</t>
  </si>
  <si>
    <t>Coach Design Railroad Car</t>
  </si>
  <si>
    <t>Tandem Design Railroad Car</t>
  </si>
  <si>
    <t xml:space="preserve">  2nd Tandem Car</t>
  </si>
  <si>
    <t>Freight Car &amp; Baggage Car</t>
  </si>
  <si>
    <t>Switch and Siding to Service Building</t>
  </si>
  <si>
    <t>Horse-Drawn Vehicles</t>
  </si>
  <si>
    <t>Omnibus</t>
  </si>
  <si>
    <t>Concord Stage Coach</t>
  </si>
  <si>
    <t>Dray, Farm Wagon, Cart</t>
  </si>
  <si>
    <t>Livery stables &amp; correl</t>
  </si>
  <si>
    <t>Horses</t>
  </si>
  <si>
    <t>Harnesses, etc.</t>
  </si>
  <si>
    <t>Minor Attractions</t>
  </si>
  <si>
    <t>Small farmhouse and gardens</t>
  </si>
  <si>
    <t>Small Tobacco Warehouse</t>
  </si>
  <si>
    <t>Track to loop the lake</t>
  </si>
  <si>
    <t>Script Development</t>
  </si>
  <si>
    <t>Auditions and Rehersals</t>
  </si>
  <si>
    <t>Fire Engine</t>
  </si>
  <si>
    <t>Staff, pre-opening</t>
  </si>
  <si>
    <t>Gift Shop, Snack bar, Museums</t>
  </si>
  <si>
    <t>Popcorn Wagon &amp; Shaved Ice Wagon</t>
  </si>
  <si>
    <t>Entertainment Development</t>
  </si>
  <si>
    <t>Horse-drawn Vehicles</t>
  </si>
  <si>
    <t>Tent City</t>
  </si>
  <si>
    <t>3 Passenger cars</t>
  </si>
  <si>
    <t>New Parking Lot (ACL lot)</t>
  </si>
  <si>
    <t>New Access Road</t>
  </si>
  <si>
    <t>Employee Parking Lot</t>
  </si>
  <si>
    <t>Construction</t>
  </si>
  <si>
    <t>Fixtures</t>
  </si>
  <si>
    <t>Merchandise</t>
  </si>
  <si>
    <t>Wheeled Vehicles</t>
  </si>
  <si>
    <t>Second Omnibus</t>
  </si>
  <si>
    <t>Various Wagons</t>
  </si>
  <si>
    <t>Lafayette Park, 9 pins</t>
  </si>
  <si>
    <t>Retail Stores - one at each park</t>
  </si>
  <si>
    <t>Two Retail Stores</t>
  </si>
  <si>
    <t>Add Liberty Village and Peter's Point Nature Park</t>
  </si>
  <si>
    <t>Liberty Village Farm</t>
  </si>
  <si>
    <t>Robert's Cabinet Shop, antique tools</t>
  </si>
  <si>
    <t>2 8-wheel Locomotives</t>
  </si>
  <si>
    <t>Main Rail Line</t>
  </si>
  <si>
    <t>Civil War Ordance (cannons)</t>
  </si>
  <si>
    <t>2 more drays</t>
  </si>
  <si>
    <t>Civil War Ambulance Wagon</t>
  </si>
  <si>
    <t>Wardrobe</t>
  </si>
  <si>
    <t>Misc Wagons</t>
  </si>
  <si>
    <t>2nd Livery Stable &amp; Corral</t>
  </si>
  <si>
    <t>Equip Small Cavalry Unit</t>
  </si>
  <si>
    <t>Dugout Canoes</t>
  </si>
  <si>
    <t>Rental Canoes and Kyaks</t>
  </si>
  <si>
    <t>Rental Boats</t>
  </si>
  <si>
    <t>6 Box-type Passenger Cars</t>
  </si>
  <si>
    <t>3 Passenger Cars - box shape</t>
  </si>
  <si>
    <t>No construction - to be within buildings</t>
  </si>
  <si>
    <t>Contingency Budget</t>
  </si>
  <si>
    <t>Budget</t>
  </si>
  <si>
    <t>Budgets</t>
  </si>
  <si>
    <t xml:space="preserve"> Phase 1</t>
  </si>
  <si>
    <t xml:space="preserve"> Phase 2</t>
  </si>
  <si>
    <t xml:space="preserve"> Phase 3</t>
  </si>
  <si>
    <t xml:space="preserve"> Phase 4</t>
  </si>
  <si>
    <t>Contingency Funds</t>
  </si>
  <si>
    <t>Total Budget</t>
  </si>
  <si>
    <t xml:space="preserve">  Grand Total</t>
  </si>
  <si>
    <t>Income</t>
  </si>
  <si>
    <t>Visitors</t>
  </si>
  <si>
    <t>Total</t>
  </si>
  <si>
    <t>Admissions Income, average</t>
  </si>
  <si>
    <t>Ancillary Sales</t>
  </si>
  <si>
    <t xml:space="preserve"> less cost of good sold</t>
  </si>
  <si>
    <t>Net Income per visitor</t>
  </si>
  <si>
    <t>Operating Expenses</t>
  </si>
  <si>
    <t>Permanent Employees</t>
  </si>
  <si>
    <t>Seasonal Employee Housing</t>
  </si>
  <si>
    <t>Insurance, Utilities</t>
  </si>
  <si>
    <t>Maintainence</t>
  </si>
  <si>
    <t>Debt Service 4.5M @ 11%</t>
  </si>
  <si>
    <t>Profit</t>
  </si>
  <si>
    <t>Accumulated Profits</t>
  </si>
  <si>
    <t>Expenses</t>
  </si>
  <si>
    <t>Seasonal Employees</t>
  </si>
  <si>
    <t>Debt Service 5.5 M @ 11%</t>
  </si>
  <si>
    <t>Add Pocahontas Heritage &amp;  Peter's Point Nature Park</t>
  </si>
  <si>
    <t>Permanent Staff</t>
  </si>
  <si>
    <t>Debt Service 10.5 M @ 11%</t>
  </si>
  <si>
    <t>Executive Staff</t>
  </si>
  <si>
    <t>Debt Service 21.5 M @ 11%</t>
  </si>
  <si>
    <t>Production Budget</t>
  </si>
  <si>
    <t>Existing Debt</t>
  </si>
  <si>
    <t xml:space="preserve">Existing Debt 6% reduction </t>
  </si>
  <si>
    <t xml:space="preserve">  Total Debt, gross</t>
  </si>
  <si>
    <t xml:space="preserve">  Total Debt, after payments</t>
  </si>
  <si>
    <t>Projected Income</t>
  </si>
  <si>
    <t>Projected Expense</t>
  </si>
  <si>
    <t xml:space="preserve">  Profit</t>
  </si>
  <si>
    <t>Previous Profit</t>
  </si>
  <si>
    <t>New Profit</t>
  </si>
  <si>
    <t>Cash Flow Projection</t>
  </si>
  <si>
    <t>Accumulated Profit Scenario</t>
  </si>
  <si>
    <t>Additional Draws</t>
  </si>
  <si>
    <t>Petersburg Parks</t>
  </si>
  <si>
    <t>Employee Requirements</t>
  </si>
  <si>
    <t>Phase</t>
  </si>
  <si>
    <t>General</t>
  </si>
  <si>
    <t>Ticket Sellers</t>
  </si>
  <si>
    <t>Exterior Maintainence</t>
  </si>
  <si>
    <t>Parking Lot Attendants</t>
  </si>
  <si>
    <t>Trafic Control</t>
  </si>
  <si>
    <t>Early America</t>
  </si>
  <si>
    <t>Battle for Petersburg</t>
  </si>
  <si>
    <t>Supply Tent</t>
  </si>
  <si>
    <t>Union Soldiers</t>
  </si>
  <si>
    <t>Reb Soldeirs</t>
  </si>
  <si>
    <t>Reisidents</t>
  </si>
  <si>
    <t>Uncle Remus</t>
  </si>
  <si>
    <t>Industrial Shops</t>
  </si>
  <si>
    <t>Peter's Point</t>
  </si>
  <si>
    <t>Wildlife Specialist</t>
  </si>
  <si>
    <t>Assistants</t>
  </si>
  <si>
    <t>Canoe Rental</t>
  </si>
  <si>
    <t xml:space="preserve"> Park Employee Totals</t>
  </si>
  <si>
    <t>Annual Visitors</t>
  </si>
  <si>
    <t xml:space="preserve">  Summer</t>
  </si>
  <si>
    <t xml:space="preserve">  Winter</t>
  </si>
  <si>
    <t xml:space="preserve">  Fall</t>
  </si>
  <si>
    <t xml:space="preserve">  Spring</t>
  </si>
  <si>
    <t>Weekly Average</t>
  </si>
  <si>
    <t>30% on Saturday and Sunday</t>
  </si>
  <si>
    <t>Peak Day - Summer Sat</t>
  </si>
  <si>
    <t>Total Employees</t>
  </si>
  <si>
    <t>Conductors</t>
  </si>
  <si>
    <t>Indian Village</t>
  </si>
  <si>
    <t>Union Staton</t>
  </si>
  <si>
    <t xml:space="preserve">Southside Station </t>
  </si>
  <si>
    <t>Street Entertainers</t>
  </si>
  <si>
    <t>Tobacco WH Store</t>
  </si>
  <si>
    <t>Kitchen Garden Farm</t>
  </si>
  <si>
    <t>Berry Garden</t>
  </si>
  <si>
    <t>Wagoneers</t>
  </si>
  <si>
    <t>Livery Stable / Blacksmith</t>
  </si>
  <si>
    <t>Lafayette Park Maint</t>
  </si>
  <si>
    <t>Peak Day - Spring, Fall</t>
  </si>
  <si>
    <t>Street Concessions</t>
  </si>
  <si>
    <t>9 Pins</t>
  </si>
  <si>
    <t>Trading Post</t>
  </si>
  <si>
    <t>PHASE 2</t>
  </si>
  <si>
    <t>PHASE 1</t>
  </si>
  <si>
    <t>PHASE 3</t>
  </si>
  <si>
    <t>PHASE 4</t>
  </si>
  <si>
    <t>Appomatttox Loco Works</t>
  </si>
  <si>
    <t>The following chart lists the staff requirements when the parks are open.</t>
  </si>
  <si>
    <t>Freedom Village</t>
  </si>
  <si>
    <t>Multiples</t>
  </si>
  <si>
    <t xml:space="preserve">Summer months parks are open 84 hours.  </t>
  </si>
  <si>
    <t>Saummer Multiple</t>
  </si>
  <si>
    <t>Other months parks are open 56 hours</t>
  </si>
  <si>
    <t>Other Multiple</t>
  </si>
  <si>
    <t>Average Annual Multiple</t>
  </si>
  <si>
    <t>Total Employees Needed</t>
  </si>
  <si>
    <t>Avg Annual Pay</t>
  </si>
  <si>
    <t>Corporate Executive Officer</t>
  </si>
  <si>
    <t>Project Mangers / Costruction</t>
  </si>
  <si>
    <t>Entertainment Director</t>
  </si>
  <si>
    <t>Employment Director</t>
  </si>
  <si>
    <t>Retail Mainager</t>
  </si>
  <si>
    <t>Historian / Research Super</t>
  </si>
  <si>
    <t>Maintainence Supervisor</t>
  </si>
  <si>
    <t>Botantist</t>
  </si>
  <si>
    <t>Accountant / Treasurer</t>
  </si>
  <si>
    <t>Administrative Staff</t>
  </si>
  <si>
    <t>Employment Office</t>
  </si>
  <si>
    <t>Warehouse</t>
  </si>
  <si>
    <t>Enginners</t>
  </si>
  <si>
    <t>taxes, insurance at 30%</t>
  </si>
  <si>
    <t>Store</t>
  </si>
  <si>
    <t xml:space="preserve"> less cost of goods sold</t>
  </si>
  <si>
    <t>Projected Income and Expenses</t>
  </si>
  <si>
    <t>Support Staff</t>
  </si>
  <si>
    <t>Buyers</t>
  </si>
  <si>
    <t>Taxes, Insurance @ 30%</t>
  </si>
  <si>
    <t>Average Pay</t>
  </si>
  <si>
    <t>Housing for Seasonal Staff</t>
  </si>
  <si>
    <t>Employees</t>
  </si>
  <si>
    <t xml:space="preserve">  Phase 1</t>
  </si>
  <si>
    <t xml:space="preserve">  Phase 2</t>
  </si>
  <si>
    <t xml:space="preserve">  Phase 3</t>
  </si>
  <si>
    <t xml:space="preserve">  Phase 4</t>
  </si>
  <si>
    <t xml:space="preserve">    Total</t>
  </si>
  <si>
    <t>Less Debt Reduction</t>
  </si>
  <si>
    <t>Total Amount Borrowed</t>
  </si>
  <si>
    <t>Loan Balance</t>
  </si>
  <si>
    <t>Profits after paying off loan</t>
  </si>
  <si>
    <t>Financing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</si>
</sst>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quotePrefix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0" fillId="0" borderId="1" xfId="0" applyNumberFormat="1" applyBorder="1"/>
    <xf numFmtId="0" fontId="1" fillId="0" borderId="0" xfId="0" applyFont="1"/>
    <xf numFmtId="3" fontId="0" fillId="0" borderId="0" xfId="0" applyNumberFormat="1" applyBorder="1"/>
    <xf numFmtId="3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0" fillId="0" borderId="0" xfId="0" applyNumberFormat="1"/>
    <xf numFmtId="4" fontId="0" fillId="0" borderId="0" xfId="0" applyNumberFormat="1" applyBorder="1"/>
    <xf numFmtId="9" fontId="0" fillId="0" borderId="0" xfId="0" applyNumberFormat="1" applyBorder="1"/>
    <xf numFmtId="4" fontId="1" fillId="0" borderId="0" xfId="0" applyNumberFormat="1" applyFont="1"/>
    <xf numFmtId="3" fontId="1" fillId="0" borderId="0" xfId="0" applyNumberFormat="1" applyFont="1" applyBorder="1"/>
    <xf numFmtId="164" fontId="0" fillId="0" borderId="0" xfId="0" applyNumberFormat="1"/>
    <xf numFmtId="0" fontId="0" fillId="0" borderId="1" xfId="0" applyBorder="1"/>
    <xf numFmtId="3" fontId="1" fillId="0" borderId="0" xfId="0" applyNumberFormat="1" applyFont="1" applyAlignment="1">
      <alignment horizontal="right"/>
    </xf>
    <xf numFmtId="9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275"/>
  <sheetViews>
    <sheetView topLeftCell="A251" zoomScaleNormal="100" workbookViewId="0">
      <selection activeCell="F275" sqref="F275"/>
    </sheetView>
  </sheetViews>
  <sheetFormatPr defaultRowHeight="14.25"/>
  <cols>
    <col min="1" max="1" width="9.875" customWidth="1"/>
    <col min="2" max="2" width="31.25" customWidth="1"/>
    <col min="3" max="3" width="8.75" style="2" customWidth="1"/>
    <col min="4" max="4" width="11.375" style="2" customWidth="1"/>
    <col min="5" max="5" width="11.25" customWidth="1"/>
    <col min="6" max="6" width="12.125" style="2" bestFit="1" customWidth="1"/>
    <col min="7" max="7" width="10.625" bestFit="1" customWidth="1"/>
    <col min="8" max="8" width="10.75" customWidth="1"/>
  </cols>
  <sheetData>
    <row r="1" spans="2:8" ht="23.25">
      <c r="B1" s="33" t="s">
        <v>156</v>
      </c>
      <c r="C1" s="33"/>
      <c r="D1" s="33"/>
      <c r="E1" s="33"/>
    </row>
    <row r="3" spans="2:8" ht="18">
      <c r="B3" s="34" t="s">
        <v>26</v>
      </c>
      <c r="C3" s="34"/>
      <c r="D3" s="34"/>
      <c r="E3" s="34"/>
      <c r="F3" s="8"/>
      <c r="G3" s="8"/>
      <c r="H3" s="8"/>
    </row>
    <row r="4" spans="2:8" ht="15">
      <c r="B4" s="35" t="s">
        <v>54</v>
      </c>
      <c r="C4" s="35"/>
      <c r="D4" s="35"/>
      <c r="E4" s="35"/>
      <c r="F4" s="9"/>
      <c r="G4" s="9"/>
      <c r="H4" s="9"/>
    </row>
    <row r="6" spans="2:8" ht="15">
      <c r="B6" s="5" t="s">
        <v>17</v>
      </c>
      <c r="E6" s="3" t="s">
        <v>1</v>
      </c>
    </row>
    <row r="7" spans="2:8">
      <c r="B7" t="s">
        <v>0</v>
      </c>
      <c r="E7" s="2">
        <v>125000</v>
      </c>
    </row>
    <row r="8" spans="2:8">
      <c r="B8" t="s">
        <v>2</v>
      </c>
      <c r="E8" s="2">
        <v>75000</v>
      </c>
    </row>
    <row r="9" spans="2:8">
      <c r="B9" t="s">
        <v>53</v>
      </c>
      <c r="E9" s="2">
        <v>35000</v>
      </c>
    </row>
    <row r="10" spans="2:8">
      <c r="B10" t="s">
        <v>3</v>
      </c>
      <c r="E10" s="2">
        <v>50000</v>
      </c>
    </row>
    <row r="11" spans="2:8">
      <c r="B11" t="s">
        <v>64</v>
      </c>
      <c r="E11" s="6">
        <v>35000</v>
      </c>
    </row>
    <row r="12" spans="2:8">
      <c r="B12" t="s">
        <v>66</v>
      </c>
      <c r="E12" s="4">
        <v>50000</v>
      </c>
    </row>
    <row r="13" spans="2:8">
      <c r="B13" t="s">
        <v>46</v>
      </c>
      <c r="E13" s="2">
        <f>SUM(E7:E12)</f>
        <v>370000</v>
      </c>
    </row>
    <row r="14" spans="2:8">
      <c r="E14" s="2"/>
    </row>
    <row r="15" spans="2:8">
      <c r="B15" s="1" t="s">
        <v>4</v>
      </c>
      <c r="E15" s="4">
        <f>+E13*0.3</f>
        <v>111000</v>
      </c>
    </row>
    <row r="16" spans="2:8">
      <c r="B16" t="s">
        <v>5</v>
      </c>
      <c r="E16" s="6">
        <f>+E13+E15</f>
        <v>481000</v>
      </c>
    </row>
    <row r="17" spans="2:8">
      <c r="E17" s="2"/>
    </row>
    <row r="18" spans="2:8" ht="15">
      <c r="B18" s="5" t="s">
        <v>6</v>
      </c>
      <c r="E18" s="2"/>
    </row>
    <row r="19" spans="2:8">
      <c r="B19" t="s">
        <v>15</v>
      </c>
      <c r="E19" s="2">
        <v>75000</v>
      </c>
    </row>
    <row r="20" spans="2:8">
      <c r="B20" t="s">
        <v>50</v>
      </c>
      <c r="E20" s="2">
        <v>1200000</v>
      </c>
    </row>
    <row r="21" spans="2:8">
      <c r="B21" t="s">
        <v>7</v>
      </c>
      <c r="E21" s="2">
        <v>125000</v>
      </c>
    </row>
    <row r="22" spans="2:8">
      <c r="B22" t="s">
        <v>55</v>
      </c>
      <c r="E22" s="6">
        <v>200000</v>
      </c>
    </row>
    <row r="23" spans="2:8">
      <c r="B23" t="s">
        <v>65</v>
      </c>
      <c r="E23" s="4">
        <v>150000</v>
      </c>
    </row>
    <row r="24" spans="2:8">
      <c r="B24" t="s">
        <v>13</v>
      </c>
      <c r="E24" s="2">
        <f>SUM(E19:E23)</f>
        <v>1750000</v>
      </c>
    </row>
    <row r="25" spans="2:8">
      <c r="E25" s="2"/>
      <c r="H25" s="2"/>
    </row>
    <row r="26" spans="2:8" ht="15">
      <c r="B26" s="5" t="s">
        <v>8</v>
      </c>
      <c r="E26" s="2"/>
      <c r="H26" s="2"/>
    </row>
    <row r="27" spans="2:8">
      <c r="B27" t="s">
        <v>9</v>
      </c>
      <c r="E27" s="2">
        <v>125000</v>
      </c>
    </row>
    <row r="28" spans="2:8">
      <c r="B28" t="s">
        <v>67</v>
      </c>
      <c r="E28" s="2">
        <v>125000</v>
      </c>
    </row>
    <row r="29" spans="2:8">
      <c r="B29" t="s">
        <v>68</v>
      </c>
      <c r="E29" s="2">
        <v>150000</v>
      </c>
    </row>
    <row r="30" spans="2:8">
      <c r="B30" t="s">
        <v>69</v>
      </c>
      <c r="E30" s="2">
        <v>150000</v>
      </c>
    </row>
    <row r="31" spans="2:8">
      <c r="B31" t="s">
        <v>70</v>
      </c>
      <c r="E31" s="2">
        <v>40000</v>
      </c>
    </row>
    <row r="32" spans="2:8">
      <c r="B32" t="s">
        <v>82</v>
      </c>
      <c r="E32" s="6">
        <v>200000</v>
      </c>
    </row>
    <row r="33" spans="2:5">
      <c r="B33" t="s">
        <v>71</v>
      </c>
      <c r="E33" s="4">
        <v>125000</v>
      </c>
    </row>
    <row r="34" spans="2:5">
      <c r="B34" t="s">
        <v>13</v>
      </c>
      <c r="E34" s="2">
        <f>SUM(E27:E33)</f>
        <v>915000</v>
      </c>
    </row>
    <row r="35" spans="2:5">
      <c r="E35" s="2"/>
    </row>
    <row r="36" spans="2:5" ht="15">
      <c r="B36" s="5" t="s">
        <v>51</v>
      </c>
      <c r="E36" s="2"/>
    </row>
    <row r="37" spans="2:5">
      <c r="B37" t="s">
        <v>10</v>
      </c>
      <c r="E37" s="2">
        <v>8000</v>
      </c>
    </row>
    <row r="38" spans="2:5">
      <c r="B38" t="s">
        <v>11</v>
      </c>
      <c r="E38" s="2">
        <v>50000</v>
      </c>
    </row>
    <row r="39" spans="2:5">
      <c r="B39" t="s">
        <v>12</v>
      </c>
      <c r="E39" s="6">
        <v>40000</v>
      </c>
    </row>
    <row r="40" spans="2:5">
      <c r="B40" t="s">
        <v>56</v>
      </c>
      <c r="E40" s="4">
        <v>75000</v>
      </c>
    </row>
    <row r="41" spans="2:5">
      <c r="B41" t="s">
        <v>13</v>
      </c>
      <c r="E41" s="2">
        <f>SUM(E37:E40)</f>
        <v>173000</v>
      </c>
    </row>
    <row r="42" spans="2:5">
      <c r="E42" s="2"/>
    </row>
    <row r="43" spans="2:5" ht="15">
      <c r="B43" s="5" t="s">
        <v>72</v>
      </c>
      <c r="E43" s="2"/>
    </row>
    <row r="44" spans="2:5">
      <c r="B44" t="s">
        <v>73</v>
      </c>
      <c r="E44" s="2">
        <v>80000</v>
      </c>
    </row>
    <row r="45" spans="2:5">
      <c r="B45" t="s">
        <v>74</v>
      </c>
      <c r="E45" s="2">
        <v>60000</v>
      </c>
    </row>
    <row r="46" spans="2:5">
      <c r="B46" t="s">
        <v>75</v>
      </c>
      <c r="E46" s="2">
        <v>30000</v>
      </c>
    </row>
    <row r="47" spans="2:5">
      <c r="B47" t="s">
        <v>85</v>
      </c>
      <c r="E47" s="2">
        <v>55000</v>
      </c>
    </row>
    <row r="48" spans="2:5">
      <c r="B48" t="s">
        <v>88</v>
      </c>
      <c r="E48" s="2">
        <v>60000</v>
      </c>
    </row>
    <row r="49" spans="2:5">
      <c r="B49" t="s">
        <v>76</v>
      </c>
      <c r="E49" s="2">
        <v>80000</v>
      </c>
    </row>
    <row r="50" spans="2:5">
      <c r="B50" t="s">
        <v>77</v>
      </c>
      <c r="E50" s="2">
        <v>60000</v>
      </c>
    </row>
    <row r="51" spans="2:5">
      <c r="B51" t="s">
        <v>78</v>
      </c>
      <c r="E51" s="4">
        <v>8000</v>
      </c>
    </row>
    <row r="52" spans="2:5">
      <c r="B52" t="s">
        <v>13</v>
      </c>
      <c r="E52" s="2">
        <f>SUM(E44:E51)</f>
        <v>433000</v>
      </c>
    </row>
    <row r="53" spans="2:5">
      <c r="E53" s="2"/>
    </row>
    <row r="54" spans="2:5" ht="15">
      <c r="B54" s="5" t="s">
        <v>79</v>
      </c>
      <c r="E54" s="2"/>
    </row>
    <row r="55" spans="2:5">
      <c r="B55" t="s">
        <v>80</v>
      </c>
      <c r="E55" s="2">
        <v>100000</v>
      </c>
    </row>
    <row r="56" spans="2:5">
      <c r="B56" t="s">
        <v>102</v>
      </c>
      <c r="E56" s="2">
        <v>100000</v>
      </c>
    </row>
    <row r="57" spans="2:5">
      <c r="B57" t="s">
        <v>119</v>
      </c>
      <c r="E57" s="2">
        <v>50000</v>
      </c>
    </row>
    <row r="58" spans="2:5">
      <c r="B58" t="s">
        <v>81</v>
      </c>
      <c r="E58" s="4">
        <v>75000</v>
      </c>
    </row>
    <row r="59" spans="2:5">
      <c r="B59" t="s">
        <v>13</v>
      </c>
      <c r="E59" s="2">
        <f>SUM(E55:E58)</f>
        <v>325000</v>
      </c>
    </row>
    <row r="60" spans="2:5">
      <c r="E60" s="2"/>
    </row>
    <row r="61" spans="2:5" ht="15">
      <c r="B61" s="5" t="s">
        <v>89</v>
      </c>
      <c r="E61" s="2"/>
    </row>
    <row r="62" spans="2:5">
      <c r="B62" t="s">
        <v>83</v>
      </c>
      <c r="E62" s="2">
        <v>35000</v>
      </c>
    </row>
    <row r="63" spans="2:5">
      <c r="B63" t="s">
        <v>84</v>
      </c>
      <c r="E63" s="6">
        <v>25000</v>
      </c>
    </row>
    <row r="64" spans="2:5">
      <c r="B64" t="s">
        <v>113</v>
      </c>
      <c r="E64" s="4">
        <v>10000</v>
      </c>
    </row>
    <row r="65" spans="2:5">
      <c r="B65" t="s">
        <v>13</v>
      </c>
      <c r="E65" s="2">
        <f>SUM(E62:E64)</f>
        <v>70000</v>
      </c>
    </row>
    <row r="66" spans="2:5">
      <c r="E66" s="2"/>
    </row>
    <row r="67" spans="2:5" ht="15">
      <c r="B67" s="5" t="s">
        <v>47</v>
      </c>
      <c r="E67" s="2"/>
    </row>
    <row r="68" spans="2:5">
      <c r="B68" t="s">
        <v>48</v>
      </c>
      <c r="E68" s="2">
        <v>100000</v>
      </c>
    </row>
    <row r="69" spans="2:5">
      <c r="B69" t="s">
        <v>57</v>
      </c>
      <c r="E69" s="2">
        <v>25000</v>
      </c>
    </row>
    <row r="70" spans="2:5">
      <c r="B70" t="s">
        <v>49</v>
      </c>
      <c r="E70" s="4">
        <v>15000</v>
      </c>
    </row>
    <row r="71" spans="2:5">
      <c r="E71" s="2">
        <f>SUM(E68:E70)</f>
        <v>140000</v>
      </c>
    </row>
    <row r="72" spans="2:5" ht="15">
      <c r="B72" s="5" t="s">
        <v>14</v>
      </c>
      <c r="E72" s="2"/>
    </row>
    <row r="73" spans="2:5">
      <c r="B73" t="s">
        <v>86</v>
      </c>
      <c r="E73" s="2">
        <f>E16</f>
        <v>481000</v>
      </c>
    </row>
    <row r="74" spans="2:5">
      <c r="B74" t="s">
        <v>6</v>
      </c>
      <c r="E74" s="2">
        <f>+E24</f>
        <v>1750000</v>
      </c>
    </row>
    <row r="75" spans="2:5">
      <c r="B75" t="s">
        <v>8</v>
      </c>
      <c r="E75" s="2">
        <f>+E34</f>
        <v>915000</v>
      </c>
    </row>
    <row r="76" spans="2:5">
      <c r="B76" t="s">
        <v>87</v>
      </c>
      <c r="E76" s="6">
        <f>+E41</f>
        <v>173000</v>
      </c>
    </row>
    <row r="77" spans="2:5">
      <c r="B77" t="s">
        <v>90</v>
      </c>
      <c r="E77" s="6">
        <f>+E52</f>
        <v>433000</v>
      </c>
    </row>
    <row r="78" spans="2:5">
      <c r="B78" t="s">
        <v>79</v>
      </c>
      <c r="E78" s="6">
        <f>+E59</f>
        <v>325000</v>
      </c>
    </row>
    <row r="79" spans="2:5">
      <c r="B79" t="s">
        <v>89</v>
      </c>
      <c r="E79" s="6">
        <f>+E65</f>
        <v>70000</v>
      </c>
    </row>
    <row r="80" spans="2:5">
      <c r="B80" t="s">
        <v>47</v>
      </c>
      <c r="E80" s="4">
        <f>+E71</f>
        <v>140000</v>
      </c>
    </row>
    <row r="81" spans="2:10" ht="15">
      <c r="B81" s="5" t="s">
        <v>13</v>
      </c>
      <c r="E81" s="7">
        <f>SUM(E73:E80)</f>
        <v>4287000</v>
      </c>
    </row>
    <row r="82" spans="2:10">
      <c r="E82" s="2"/>
    </row>
    <row r="83" spans="2:10">
      <c r="B83" t="s">
        <v>43</v>
      </c>
      <c r="E83" s="4">
        <v>500000</v>
      </c>
    </row>
    <row r="84" spans="2:10" ht="15">
      <c r="B84" s="5" t="s">
        <v>36</v>
      </c>
      <c r="E84" s="2">
        <f>+E81+E83</f>
        <v>4787000</v>
      </c>
    </row>
    <row r="87" spans="2:10" ht="18">
      <c r="B87" s="34" t="s">
        <v>27</v>
      </c>
      <c r="C87" s="34"/>
      <c r="D87" s="34"/>
      <c r="E87" s="34"/>
      <c r="F87" s="10"/>
      <c r="G87" s="10"/>
      <c r="H87" s="10"/>
    </row>
    <row r="88" spans="2:10" ht="15">
      <c r="B88" s="35" t="s">
        <v>58</v>
      </c>
      <c r="C88" s="35"/>
      <c r="D88" s="35"/>
      <c r="E88" s="35"/>
      <c r="F88" s="9"/>
      <c r="G88" s="9"/>
      <c r="H88" s="9"/>
    </row>
    <row r="90" spans="2:10" ht="15">
      <c r="B90" s="5" t="s">
        <v>6</v>
      </c>
    </row>
    <row r="91" spans="2:10">
      <c r="B91" t="s">
        <v>93</v>
      </c>
      <c r="E91" s="2">
        <v>250000</v>
      </c>
      <c r="J91" t="s">
        <v>16</v>
      </c>
    </row>
    <row r="92" spans="2:10">
      <c r="B92" t="s">
        <v>94</v>
      </c>
      <c r="E92" s="2">
        <v>500000</v>
      </c>
    </row>
    <row r="93" spans="2:10">
      <c r="B93" t="s">
        <v>95</v>
      </c>
      <c r="E93" s="2">
        <v>100000</v>
      </c>
    </row>
    <row r="94" spans="2:10">
      <c r="B94" t="s">
        <v>18</v>
      </c>
      <c r="E94" s="2">
        <v>400000</v>
      </c>
    </row>
    <row r="95" spans="2:10">
      <c r="B95" t="s">
        <v>59</v>
      </c>
      <c r="E95" s="4">
        <v>250000</v>
      </c>
    </row>
    <row r="96" spans="2:10">
      <c r="B96" t="s">
        <v>13</v>
      </c>
      <c r="E96" s="2">
        <f>SUM(E91:E95)</f>
        <v>1500000</v>
      </c>
    </row>
    <row r="97" spans="2:5">
      <c r="E97" s="2"/>
    </row>
    <row r="98" spans="2:5" ht="15">
      <c r="B98" s="5" t="s">
        <v>8</v>
      </c>
      <c r="E98" s="2"/>
    </row>
    <row r="99" spans="2:5">
      <c r="B99" t="s">
        <v>61</v>
      </c>
      <c r="E99" s="2">
        <v>225000</v>
      </c>
    </row>
    <row r="100" spans="2:5">
      <c r="B100" t="s">
        <v>92</v>
      </c>
      <c r="E100" s="2">
        <v>750000</v>
      </c>
    </row>
    <row r="101" spans="2:5">
      <c r="B101" t="s">
        <v>62</v>
      </c>
      <c r="E101" s="2">
        <v>50000</v>
      </c>
    </row>
    <row r="102" spans="2:5">
      <c r="B102" t="s">
        <v>22</v>
      </c>
      <c r="E102" s="2">
        <v>30000</v>
      </c>
    </row>
    <row r="103" spans="2:5">
      <c r="B103" t="s">
        <v>23</v>
      </c>
      <c r="E103" s="4">
        <v>50000</v>
      </c>
    </row>
    <row r="104" spans="2:5">
      <c r="B104" t="s">
        <v>13</v>
      </c>
      <c r="E104" s="2">
        <f>SUM(E99:E103)</f>
        <v>1105000</v>
      </c>
    </row>
    <row r="105" spans="2:5">
      <c r="E105" s="2"/>
    </row>
    <row r="106" spans="2:5" ht="15">
      <c r="B106" s="5" t="s">
        <v>19</v>
      </c>
      <c r="E106" s="2"/>
    </row>
    <row r="107" spans="2:5">
      <c r="B107" t="s">
        <v>60</v>
      </c>
      <c r="E107" s="2">
        <v>250000</v>
      </c>
    </row>
    <row r="108" spans="2:5">
      <c r="B108" t="s">
        <v>117</v>
      </c>
      <c r="E108" s="2">
        <v>30000</v>
      </c>
    </row>
    <row r="109" spans="2:5">
      <c r="B109" t="s">
        <v>20</v>
      </c>
      <c r="E109" s="2">
        <v>350000</v>
      </c>
    </row>
    <row r="110" spans="2:5">
      <c r="B110" t="s">
        <v>21</v>
      </c>
      <c r="E110" s="2">
        <v>200000</v>
      </c>
    </row>
    <row r="111" spans="2:5">
      <c r="B111" t="s">
        <v>110</v>
      </c>
      <c r="E111" s="2">
        <v>50000</v>
      </c>
    </row>
    <row r="112" spans="2:5">
      <c r="B112" t="s">
        <v>116</v>
      </c>
      <c r="E112" s="2">
        <v>40000</v>
      </c>
    </row>
    <row r="113" spans="2:10">
      <c r="B113" t="s">
        <v>91</v>
      </c>
      <c r="E113" s="4">
        <v>40000</v>
      </c>
      <c r="J113" t="s">
        <v>16</v>
      </c>
    </row>
    <row r="114" spans="2:10">
      <c r="B114" t="s">
        <v>13</v>
      </c>
      <c r="E114" s="2">
        <f>SUM(E107:E113)</f>
        <v>960000</v>
      </c>
    </row>
    <row r="115" spans="2:10">
      <c r="E115" s="2"/>
    </row>
    <row r="116" spans="2:10" ht="15">
      <c r="B116" s="5" t="s">
        <v>103</v>
      </c>
      <c r="E116" s="2"/>
    </row>
    <row r="117" spans="2:10">
      <c r="B117" t="s">
        <v>96</v>
      </c>
      <c r="E117" s="2">
        <v>600000</v>
      </c>
    </row>
    <row r="118" spans="2:10">
      <c r="B118" t="s">
        <v>97</v>
      </c>
      <c r="E118" s="2">
        <v>80000</v>
      </c>
    </row>
    <row r="119" spans="2:10">
      <c r="B119" t="s">
        <v>98</v>
      </c>
      <c r="E119" s="4">
        <v>100000</v>
      </c>
    </row>
    <row r="120" spans="2:10">
      <c r="B120" t="s">
        <v>13</v>
      </c>
      <c r="E120" s="2">
        <f>SUM(E117:E119)</f>
        <v>780000</v>
      </c>
    </row>
    <row r="121" spans="2:10">
      <c r="E121" s="2"/>
    </row>
    <row r="122" spans="2:10" ht="15">
      <c r="B122" s="5" t="s">
        <v>99</v>
      </c>
      <c r="E122" s="2"/>
    </row>
    <row r="123" spans="2:10">
      <c r="B123" t="s">
        <v>100</v>
      </c>
      <c r="E123" s="2">
        <v>85000</v>
      </c>
    </row>
    <row r="124" spans="2:10">
      <c r="B124" t="s">
        <v>111</v>
      </c>
      <c r="E124" s="2">
        <v>40000</v>
      </c>
    </row>
    <row r="125" spans="2:10">
      <c r="B125" t="s">
        <v>112</v>
      </c>
      <c r="E125" s="2">
        <v>35000</v>
      </c>
    </row>
    <row r="126" spans="2:10">
      <c r="B126" t="s">
        <v>101</v>
      </c>
      <c r="E126" s="2">
        <v>40000</v>
      </c>
    </row>
    <row r="127" spans="2:10">
      <c r="B127" t="s">
        <v>77</v>
      </c>
      <c r="E127" s="4">
        <v>10000</v>
      </c>
    </row>
    <row r="128" spans="2:10">
      <c r="B128" t="s">
        <v>13</v>
      </c>
      <c r="E128" s="2">
        <f>SUM(E123:E127)</f>
        <v>210000</v>
      </c>
    </row>
    <row r="129" spans="2:10">
      <c r="E129" s="2"/>
    </row>
    <row r="130" spans="2:10" ht="15">
      <c r="B130" s="5" t="s">
        <v>89</v>
      </c>
      <c r="E130" s="2"/>
    </row>
    <row r="131" spans="2:10">
      <c r="B131" t="s">
        <v>83</v>
      </c>
      <c r="E131" s="2">
        <v>35000</v>
      </c>
    </row>
    <row r="132" spans="2:10">
      <c r="B132" t="s">
        <v>84</v>
      </c>
      <c r="E132" s="6">
        <v>25000</v>
      </c>
    </row>
    <row r="133" spans="2:10">
      <c r="B133" t="s">
        <v>113</v>
      </c>
      <c r="E133" s="4">
        <v>100000</v>
      </c>
    </row>
    <row r="134" spans="2:10">
      <c r="B134" t="s">
        <v>13</v>
      </c>
      <c r="E134" s="2">
        <f>SUM(E131:E133)</f>
        <v>160000</v>
      </c>
    </row>
    <row r="135" spans="2:10">
      <c r="J135" t="s">
        <v>16</v>
      </c>
    </row>
    <row r="136" spans="2:10" ht="15">
      <c r="B136" s="5" t="s">
        <v>14</v>
      </c>
      <c r="E136" s="2"/>
    </row>
    <row r="137" spans="2:10">
      <c r="B137" t="s">
        <v>6</v>
      </c>
      <c r="E137" s="2">
        <f>+E96</f>
        <v>1500000</v>
      </c>
    </row>
    <row r="138" spans="2:10">
      <c r="B138" t="s">
        <v>8</v>
      </c>
      <c r="E138" s="6">
        <f>+E95</f>
        <v>250000</v>
      </c>
    </row>
    <row r="139" spans="2:10">
      <c r="B139" t="s">
        <v>19</v>
      </c>
      <c r="E139" s="2">
        <f>+E114</f>
        <v>960000</v>
      </c>
    </row>
    <row r="140" spans="2:10">
      <c r="B140" t="s">
        <v>104</v>
      </c>
      <c r="E140" s="2">
        <f>+E120</f>
        <v>780000</v>
      </c>
    </row>
    <row r="141" spans="2:10">
      <c r="B141" t="s">
        <v>99</v>
      </c>
      <c r="E141" s="2">
        <f>+E128</f>
        <v>210000</v>
      </c>
    </row>
    <row r="142" spans="2:10">
      <c r="B142" t="s">
        <v>89</v>
      </c>
      <c r="E142" s="4">
        <f>+E133</f>
        <v>100000</v>
      </c>
    </row>
    <row r="143" spans="2:10">
      <c r="E143" s="2">
        <f>SUM(E137:E142)</f>
        <v>3800000</v>
      </c>
    </row>
    <row r="144" spans="2:10">
      <c r="E144" s="2"/>
    </row>
    <row r="145" spans="2:8">
      <c r="B145" t="s">
        <v>37</v>
      </c>
      <c r="E145" s="4">
        <v>500000</v>
      </c>
    </row>
    <row r="146" spans="2:8" ht="15">
      <c r="B146" s="5" t="s">
        <v>25</v>
      </c>
      <c r="E146" s="7">
        <f>+E143+E145</f>
        <v>4300000</v>
      </c>
    </row>
    <row r="147" spans="2:8" ht="15">
      <c r="B147" s="5"/>
      <c r="D147" s="7"/>
    </row>
    <row r="148" spans="2:8">
      <c r="C148"/>
    </row>
    <row r="149" spans="2:8" ht="15">
      <c r="B149" s="5"/>
      <c r="D149" s="7"/>
    </row>
    <row r="150" spans="2:8" ht="18">
      <c r="B150" s="34" t="s">
        <v>28</v>
      </c>
      <c r="C150" s="34"/>
      <c r="D150" s="34"/>
      <c r="E150" s="34"/>
      <c r="F150" s="8"/>
      <c r="G150" s="8"/>
      <c r="H150" s="8"/>
    </row>
    <row r="151" spans="2:8" ht="15">
      <c r="B151" s="35" t="s">
        <v>105</v>
      </c>
      <c r="C151" s="35"/>
      <c r="D151" s="35"/>
      <c r="E151" s="35"/>
      <c r="F151" s="9"/>
      <c r="G151" s="9"/>
      <c r="H151" s="9"/>
    </row>
    <row r="153" spans="2:8" ht="15">
      <c r="B153" s="5" t="s">
        <v>6</v>
      </c>
    </row>
    <row r="154" spans="2:8">
      <c r="B154" t="s">
        <v>18</v>
      </c>
      <c r="E154" s="2">
        <v>500000</v>
      </c>
    </row>
    <row r="155" spans="2:8">
      <c r="B155" t="s">
        <v>59</v>
      </c>
      <c r="E155" s="4">
        <v>200000</v>
      </c>
    </row>
    <row r="156" spans="2:8">
      <c r="B156" t="s">
        <v>13</v>
      </c>
      <c r="E156" s="2">
        <f>SUM(E154:E155)</f>
        <v>700000</v>
      </c>
    </row>
    <row r="157" spans="2:8">
      <c r="E157" s="2"/>
    </row>
    <row r="158" spans="2:8" ht="15">
      <c r="B158" s="5" t="s">
        <v>8</v>
      </c>
      <c r="E158" s="2"/>
    </row>
    <row r="159" spans="2:8">
      <c r="B159" t="s">
        <v>108</v>
      </c>
      <c r="E159" s="2">
        <v>600000</v>
      </c>
    </row>
    <row r="160" spans="2:8">
      <c r="B160" t="s">
        <v>120</v>
      </c>
      <c r="E160" s="2">
        <v>1200000</v>
      </c>
    </row>
    <row r="161" spans="2:5">
      <c r="B161" t="s">
        <v>34</v>
      </c>
      <c r="E161" s="2">
        <v>200000</v>
      </c>
    </row>
    <row r="162" spans="2:5">
      <c r="B162" t="s">
        <v>109</v>
      </c>
      <c r="E162" s="2">
        <v>250000</v>
      </c>
    </row>
    <row r="163" spans="2:5">
      <c r="B163" t="s">
        <v>35</v>
      </c>
      <c r="E163" s="4">
        <v>300000</v>
      </c>
    </row>
    <row r="164" spans="2:5">
      <c r="B164" t="s">
        <v>13</v>
      </c>
      <c r="E164" s="2">
        <f>SUM(E159:E163)</f>
        <v>2550000</v>
      </c>
    </row>
    <row r="165" spans="2:5">
      <c r="E165" s="2"/>
    </row>
    <row r="166" spans="2:5" ht="15">
      <c r="B166" s="5" t="s">
        <v>19</v>
      </c>
      <c r="E166" s="2"/>
    </row>
    <row r="167" spans="2:5">
      <c r="B167" t="s">
        <v>106</v>
      </c>
      <c r="E167" s="2">
        <v>150000</v>
      </c>
    </row>
    <row r="168" spans="2:5">
      <c r="B168" t="s">
        <v>107</v>
      </c>
      <c r="E168" s="2">
        <v>175000</v>
      </c>
    </row>
    <row r="169" spans="2:5">
      <c r="B169" t="s">
        <v>29</v>
      </c>
      <c r="E169" s="2">
        <v>125000</v>
      </c>
    </row>
    <row r="170" spans="2:5">
      <c r="B170" t="s">
        <v>63</v>
      </c>
      <c r="E170" s="2">
        <v>50000</v>
      </c>
    </row>
    <row r="171" spans="2:5">
      <c r="B171" t="s">
        <v>30</v>
      </c>
      <c r="E171" s="2">
        <v>100000</v>
      </c>
    </row>
    <row r="172" spans="2:5">
      <c r="B172" t="s">
        <v>31</v>
      </c>
      <c r="E172" s="2">
        <v>50000</v>
      </c>
    </row>
    <row r="173" spans="2:5">
      <c r="B173" t="s">
        <v>32</v>
      </c>
      <c r="E173" s="2">
        <v>50000</v>
      </c>
    </row>
    <row r="174" spans="2:5">
      <c r="B174" t="s">
        <v>118</v>
      </c>
      <c r="E174" s="2">
        <v>60000</v>
      </c>
    </row>
    <row r="175" spans="2:5">
      <c r="B175" t="s">
        <v>33</v>
      </c>
      <c r="E175" s="4">
        <v>300000</v>
      </c>
    </row>
    <row r="176" spans="2:5">
      <c r="B176" t="s">
        <v>13</v>
      </c>
      <c r="E176" s="6">
        <f>SUM(E167:E175)</f>
        <v>1060000</v>
      </c>
    </row>
    <row r="177" spans="2:5">
      <c r="E177" s="6"/>
    </row>
    <row r="178" spans="2:5" ht="15">
      <c r="B178" s="5" t="s">
        <v>99</v>
      </c>
      <c r="E178" s="2"/>
    </row>
    <row r="179" spans="2:5">
      <c r="B179" t="s">
        <v>114</v>
      </c>
      <c r="E179" s="2">
        <v>45000</v>
      </c>
    </row>
    <row r="180" spans="2:5">
      <c r="B180" t="s">
        <v>77</v>
      </c>
      <c r="E180" s="2">
        <v>40000</v>
      </c>
    </row>
    <row r="181" spans="2:5">
      <c r="B181" t="s">
        <v>115</v>
      </c>
      <c r="E181" s="2">
        <v>150000</v>
      </c>
    </row>
    <row r="182" spans="2:5">
      <c r="B182" t="s">
        <v>77</v>
      </c>
      <c r="E182" s="4">
        <v>10000</v>
      </c>
    </row>
    <row r="183" spans="2:5">
      <c r="B183" t="s">
        <v>13</v>
      </c>
      <c r="E183" s="2">
        <f>SUM(E179:E182)</f>
        <v>245000</v>
      </c>
    </row>
    <row r="184" spans="2:5">
      <c r="E184" s="2"/>
    </row>
    <row r="185" spans="2:5" ht="15">
      <c r="B185" s="5" t="s">
        <v>103</v>
      </c>
      <c r="E185" s="2"/>
    </row>
    <row r="186" spans="2:5">
      <c r="B186" t="s">
        <v>96</v>
      </c>
      <c r="E186" s="2">
        <v>600000</v>
      </c>
    </row>
    <row r="187" spans="2:5">
      <c r="B187" t="s">
        <v>97</v>
      </c>
      <c r="E187" s="2">
        <v>80000</v>
      </c>
    </row>
    <row r="188" spans="2:5">
      <c r="B188" t="s">
        <v>98</v>
      </c>
      <c r="E188" s="4">
        <v>100000</v>
      </c>
    </row>
    <row r="189" spans="2:5">
      <c r="B189" t="s">
        <v>13</v>
      </c>
      <c r="E189" s="2">
        <f>SUM(E186:E188)</f>
        <v>780000</v>
      </c>
    </row>
    <row r="190" spans="2:5">
      <c r="E190" s="2"/>
    </row>
    <row r="191" spans="2:5" ht="15">
      <c r="B191" s="5" t="s">
        <v>89</v>
      </c>
      <c r="E191" s="2"/>
    </row>
    <row r="192" spans="2:5">
      <c r="B192" t="s">
        <v>83</v>
      </c>
      <c r="E192" s="2">
        <v>20000</v>
      </c>
    </row>
    <row r="193" spans="2:5">
      <c r="B193" t="s">
        <v>84</v>
      </c>
      <c r="E193" s="6">
        <v>15000</v>
      </c>
    </row>
    <row r="194" spans="2:5">
      <c r="B194" t="s">
        <v>113</v>
      </c>
      <c r="E194" s="4">
        <v>6000</v>
      </c>
    </row>
    <row r="195" spans="2:5">
      <c r="B195" t="s">
        <v>13</v>
      </c>
      <c r="E195" s="2">
        <f>SUM(E192:E194)</f>
        <v>41000</v>
      </c>
    </row>
    <row r="196" spans="2:5">
      <c r="E196" s="2"/>
    </row>
    <row r="197" spans="2:5" ht="15">
      <c r="B197" s="5" t="s">
        <v>14</v>
      </c>
      <c r="E197" s="2"/>
    </row>
    <row r="198" spans="2:5">
      <c r="B198" t="s">
        <v>6</v>
      </c>
      <c r="E198" s="2">
        <f>+E156</f>
        <v>700000</v>
      </c>
    </row>
    <row r="199" spans="2:5">
      <c r="B199" t="s">
        <v>8</v>
      </c>
      <c r="E199" s="6">
        <f>+E164</f>
        <v>2550000</v>
      </c>
    </row>
    <row r="200" spans="2:5">
      <c r="B200" t="s">
        <v>19</v>
      </c>
      <c r="E200" s="2">
        <f>+E176</f>
        <v>1060000</v>
      </c>
    </row>
    <row r="201" spans="2:5">
      <c r="B201" t="s">
        <v>99</v>
      </c>
      <c r="E201" s="2">
        <f>+E183</f>
        <v>245000</v>
      </c>
    </row>
    <row r="202" spans="2:5">
      <c r="B202" t="s">
        <v>44</v>
      </c>
      <c r="E202" s="2">
        <f>+E189</f>
        <v>780000</v>
      </c>
    </row>
    <row r="203" spans="2:5">
      <c r="B203" t="s">
        <v>89</v>
      </c>
      <c r="E203" s="4">
        <f>+E195</f>
        <v>41000</v>
      </c>
    </row>
    <row r="204" spans="2:5">
      <c r="B204" s="11" t="s">
        <v>13</v>
      </c>
      <c r="C204" s="12"/>
      <c r="D204" s="12"/>
      <c r="E204" s="12">
        <f>SUM(E198:E203)</f>
        <v>5376000</v>
      </c>
    </row>
    <row r="205" spans="2:5">
      <c r="E205" s="2"/>
    </row>
    <row r="206" spans="2:5">
      <c r="B206" t="s">
        <v>24</v>
      </c>
      <c r="E206" s="2">
        <v>500000</v>
      </c>
    </row>
    <row r="207" spans="2:5" ht="15">
      <c r="B207" s="5" t="s">
        <v>36</v>
      </c>
      <c r="E207" s="7">
        <f>+E204+E206</f>
        <v>5876000</v>
      </c>
    </row>
    <row r="209" spans="2:8" ht="18">
      <c r="B209" s="34" t="s">
        <v>38</v>
      </c>
      <c r="C209" s="34"/>
      <c r="D209" s="34"/>
      <c r="E209" s="34"/>
      <c r="F209" s="8"/>
      <c r="G209" s="8"/>
      <c r="H209" s="8"/>
    </row>
    <row r="210" spans="2:8" ht="15">
      <c r="B210" s="35" t="s">
        <v>45</v>
      </c>
      <c r="C210" s="35"/>
      <c r="D210" s="35"/>
      <c r="E210" s="35"/>
      <c r="F210" s="9"/>
      <c r="G210" s="9"/>
      <c r="H210" s="9"/>
    </row>
    <row r="212" spans="2:8" ht="15">
      <c r="B212" s="5" t="s">
        <v>6</v>
      </c>
    </row>
    <row r="213" spans="2:8">
      <c r="B213" t="s">
        <v>39</v>
      </c>
      <c r="E213" s="2">
        <f>4*300000</f>
        <v>1200000</v>
      </c>
    </row>
    <row r="214" spans="2:8">
      <c r="E214" s="2"/>
    </row>
    <row r="215" spans="2:8" ht="15">
      <c r="B215" s="5" t="s">
        <v>8</v>
      </c>
      <c r="E215" s="2"/>
    </row>
    <row r="216" spans="2:8">
      <c r="B216" t="s">
        <v>52</v>
      </c>
      <c r="E216" s="2">
        <v>350000</v>
      </c>
    </row>
    <row r="217" spans="2:8">
      <c r="B217" t="s">
        <v>121</v>
      </c>
      <c r="E217" s="2">
        <v>600000</v>
      </c>
    </row>
    <row r="218" spans="2:8">
      <c r="B218" t="s">
        <v>41</v>
      </c>
      <c r="E218" s="2">
        <v>2500000</v>
      </c>
    </row>
    <row r="219" spans="2:8">
      <c r="B219" t="s">
        <v>22</v>
      </c>
      <c r="E219" s="4">
        <v>500000</v>
      </c>
    </row>
    <row r="220" spans="2:8">
      <c r="B220" t="s">
        <v>13</v>
      </c>
      <c r="E220" s="2">
        <f>SUM(E216:E219)</f>
        <v>3950000</v>
      </c>
    </row>
    <row r="221" spans="2:8">
      <c r="E221" s="2"/>
    </row>
    <row r="222" spans="2:8" ht="15">
      <c r="B222" s="5" t="s">
        <v>19</v>
      </c>
      <c r="E222" s="2"/>
    </row>
    <row r="223" spans="2:8">
      <c r="B223" t="s">
        <v>40</v>
      </c>
      <c r="E223" s="2">
        <v>2500000</v>
      </c>
    </row>
    <row r="224" spans="2:8">
      <c r="B224" t="s">
        <v>42</v>
      </c>
      <c r="E224" s="2">
        <v>800000</v>
      </c>
    </row>
    <row r="225" spans="2:5">
      <c r="B225" t="s">
        <v>13</v>
      </c>
      <c r="E225" s="2">
        <f>SUM(E223:E224)</f>
        <v>3300000</v>
      </c>
    </row>
    <row r="226" spans="2:5">
      <c r="E226" s="2"/>
    </row>
    <row r="227" spans="2:5" ht="15">
      <c r="B227" s="5" t="s">
        <v>99</v>
      </c>
      <c r="E227" s="2"/>
    </row>
    <row r="228" spans="2:5">
      <c r="B228" t="s">
        <v>114</v>
      </c>
      <c r="E228" s="2">
        <v>45000</v>
      </c>
    </row>
    <row r="229" spans="2:5">
      <c r="B229" t="s">
        <v>77</v>
      </c>
      <c r="E229" s="4">
        <v>10000</v>
      </c>
    </row>
    <row r="230" spans="2:5">
      <c r="B230" t="s">
        <v>13</v>
      </c>
      <c r="E230" s="2">
        <f>SUM(E228:E229)</f>
        <v>55000</v>
      </c>
    </row>
    <row r="231" spans="2:5">
      <c r="E231" s="2"/>
    </row>
    <row r="232" spans="2:5" ht="15">
      <c r="B232" s="5" t="s">
        <v>103</v>
      </c>
      <c r="E232" s="2"/>
    </row>
    <row r="233" spans="2:5">
      <c r="B233" t="s">
        <v>122</v>
      </c>
      <c r="E233" s="2" t="s">
        <v>16</v>
      </c>
    </row>
    <row r="234" spans="2:5">
      <c r="B234" t="s">
        <v>97</v>
      </c>
      <c r="E234" s="2">
        <v>80000</v>
      </c>
    </row>
    <row r="235" spans="2:5">
      <c r="B235" t="s">
        <v>98</v>
      </c>
      <c r="E235" s="4">
        <v>100000</v>
      </c>
    </row>
    <row r="236" spans="2:5">
      <c r="B236" t="s">
        <v>13</v>
      </c>
      <c r="E236" s="2">
        <f>SUM(E233:E235)</f>
        <v>180000</v>
      </c>
    </row>
    <row r="237" spans="2:5">
      <c r="E237" s="2"/>
    </row>
    <row r="238" spans="2:5" ht="15">
      <c r="B238" s="5" t="s">
        <v>89</v>
      </c>
      <c r="E238" s="2"/>
    </row>
    <row r="239" spans="2:5">
      <c r="B239" t="s">
        <v>83</v>
      </c>
      <c r="E239" s="2">
        <v>10000</v>
      </c>
    </row>
    <row r="240" spans="2:5">
      <c r="B240" t="s">
        <v>84</v>
      </c>
      <c r="E240" s="6">
        <v>5000</v>
      </c>
    </row>
    <row r="241" spans="2:5">
      <c r="B241" t="s">
        <v>113</v>
      </c>
      <c r="E241" s="4">
        <v>18000</v>
      </c>
    </row>
    <row r="242" spans="2:5">
      <c r="B242" t="s">
        <v>13</v>
      </c>
      <c r="E242" s="2">
        <f>SUM(E239:E241)</f>
        <v>33000</v>
      </c>
    </row>
    <row r="243" spans="2:5">
      <c r="E243" s="2"/>
    </row>
    <row r="244" spans="2:5">
      <c r="E244" s="2"/>
    </row>
    <row r="245" spans="2:5" ht="15">
      <c r="B245" s="5" t="s">
        <v>14</v>
      </c>
      <c r="E245" s="2"/>
    </row>
    <row r="246" spans="2:5">
      <c r="B246" t="s">
        <v>6</v>
      </c>
      <c r="E246" s="2">
        <f>+E176</f>
        <v>1060000</v>
      </c>
    </row>
    <row r="247" spans="2:5">
      <c r="B247" t="s">
        <v>8</v>
      </c>
      <c r="E247" s="2">
        <f>+E220</f>
        <v>3950000</v>
      </c>
    </row>
    <row r="248" spans="2:5">
      <c r="B248" t="s">
        <v>19</v>
      </c>
      <c r="E248" s="2">
        <f>+E225</f>
        <v>3300000</v>
      </c>
    </row>
    <row r="249" spans="2:5">
      <c r="B249" t="s">
        <v>99</v>
      </c>
      <c r="E249" s="2">
        <f>+E230</f>
        <v>55000</v>
      </c>
    </row>
    <row r="250" spans="2:5">
      <c r="B250" t="s">
        <v>44</v>
      </c>
      <c r="E250" s="2">
        <f>+E236</f>
        <v>180000</v>
      </c>
    </row>
    <row r="251" spans="2:5">
      <c r="B251" t="s">
        <v>89</v>
      </c>
      <c r="E251" s="4">
        <f>+E242</f>
        <v>33000</v>
      </c>
    </row>
    <row r="252" spans="2:5">
      <c r="B252" t="s">
        <v>13</v>
      </c>
      <c r="E252" s="2">
        <f>SUM(E246:E251)</f>
        <v>8578000</v>
      </c>
    </row>
    <row r="253" spans="2:5">
      <c r="E253" s="2"/>
    </row>
    <row r="254" spans="2:5">
      <c r="B254" t="s">
        <v>123</v>
      </c>
      <c r="E254" s="2">
        <v>850000</v>
      </c>
    </row>
    <row r="255" spans="2:5" ht="15">
      <c r="B255" s="5" t="s">
        <v>124</v>
      </c>
      <c r="C255" s="7"/>
      <c r="D255" s="7"/>
      <c r="E255" s="7">
        <f>+E252+E254</f>
        <v>9428000</v>
      </c>
    </row>
    <row r="256" spans="2:5">
      <c r="E256" s="2"/>
    </row>
    <row r="257" spans="2:5">
      <c r="E257" s="2"/>
    </row>
    <row r="258" spans="2:5" ht="15">
      <c r="B258" s="5" t="s">
        <v>125</v>
      </c>
    </row>
    <row r="259" spans="2:5">
      <c r="B259" t="s">
        <v>126</v>
      </c>
      <c r="E259" s="2">
        <f>+E81</f>
        <v>4287000</v>
      </c>
    </row>
    <row r="260" spans="2:5">
      <c r="B260" t="s">
        <v>127</v>
      </c>
      <c r="E260" s="2">
        <f>+E143</f>
        <v>3800000</v>
      </c>
    </row>
    <row r="261" spans="2:5">
      <c r="B261" t="s">
        <v>128</v>
      </c>
      <c r="E261" s="2">
        <f>+E204</f>
        <v>5376000</v>
      </c>
    </row>
    <row r="262" spans="2:5">
      <c r="B262" t="s">
        <v>129</v>
      </c>
      <c r="E262" s="4">
        <f>+E252</f>
        <v>8578000</v>
      </c>
    </row>
    <row r="263" spans="2:5">
      <c r="E263" s="2">
        <f>SUM(E259:E262)</f>
        <v>22041000</v>
      </c>
    </row>
    <row r="266" spans="2:5" ht="15">
      <c r="B266" s="5" t="s">
        <v>130</v>
      </c>
    </row>
    <row r="267" spans="2:5">
      <c r="B267" t="s">
        <v>126</v>
      </c>
      <c r="E267" s="2">
        <f>+E83</f>
        <v>500000</v>
      </c>
    </row>
    <row r="268" spans="2:5">
      <c r="B268" t="s">
        <v>127</v>
      </c>
      <c r="E268" s="2">
        <f>+E145</f>
        <v>500000</v>
      </c>
    </row>
    <row r="269" spans="2:5">
      <c r="B269" t="s">
        <v>128</v>
      </c>
      <c r="E269" s="2">
        <f>+E206</f>
        <v>500000</v>
      </c>
    </row>
    <row r="270" spans="2:5">
      <c r="B270" t="s">
        <v>129</v>
      </c>
      <c r="E270" s="4">
        <f>+E254</f>
        <v>850000</v>
      </c>
    </row>
    <row r="271" spans="2:5">
      <c r="E271" s="2">
        <f>SUM(E267:E270)</f>
        <v>2350000</v>
      </c>
    </row>
    <row r="273" spans="2:5">
      <c r="B273" t="s">
        <v>131</v>
      </c>
      <c r="E273" s="2">
        <f>+E263</f>
        <v>22041000</v>
      </c>
    </row>
    <row r="274" spans="2:5">
      <c r="B274" t="s">
        <v>130</v>
      </c>
      <c r="E274" s="4">
        <f>+E271</f>
        <v>2350000</v>
      </c>
    </row>
    <row r="275" spans="2:5">
      <c r="B275" t="s">
        <v>132</v>
      </c>
      <c r="E275" s="2">
        <f>SUM(E273:E274)</f>
        <v>24391000</v>
      </c>
    </row>
  </sheetData>
  <mergeCells count="9">
    <mergeCell ref="B1:E1"/>
    <mergeCell ref="B209:E209"/>
    <mergeCell ref="B210:E210"/>
    <mergeCell ref="B3:E3"/>
    <mergeCell ref="B4:E4"/>
    <mergeCell ref="B87:E87"/>
    <mergeCell ref="B88:E88"/>
    <mergeCell ref="B150:E150"/>
    <mergeCell ref="B151:E151"/>
  </mergeCells>
  <printOptions horizontalCentered="1"/>
  <pageMargins left="0.7" right="0.7" top="0.75" bottom="0.75" header="0.3" footer="0.3"/>
  <pageSetup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C23" sqref="C23:F23"/>
    </sheetView>
  </sheetViews>
  <sheetFormatPr defaultRowHeight="14.25"/>
  <cols>
    <col min="1" max="1" width="22.5" customWidth="1"/>
  </cols>
  <sheetData>
    <row r="2" spans="1:6" ht="15">
      <c r="A2" s="5" t="s">
        <v>171</v>
      </c>
      <c r="B2" s="5"/>
      <c r="C2" s="5">
        <v>1</v>
      </c>
      <c r="D2" s="5">
        <v>2</v>
      </c>
      <c r="E2" s="5">
        <v>3</v>
      </c>
      <c r="F2" s="5">
        <v>4</v>
      </c>
    </row>
    <row r="3" spans="1:6" ht="15">
      <c r="A3" s="5" t="s">
        <v>190</v>
      </c>
      <c r="B3" s="5"/>
      <c r="C3" s="7">
        <f>+phase1visitors</f>
        <v>120000</v>
      </c>
      <c r="D3" s="7">
        <f>+phase2visitors</f>
        <v>300000</v>
      </c>
      <c r="E3" s="7">
        <f>+phase3visitors</f>
        <v>450000</v>
      </c>
      <c r="F3" s="7">
        <f>+phase4visitors</f>
        <v>800000</v>
      </c>
    </row>
    <row r="4" spans="1:6">
      <c r="A4" t="s">
        <v>192</v>
      </c>
      <c r="B4" s="23">
        <v>0.05</v>
      </c>
      <c r="C4" s="2">
        <f>+C3*B4</f>
        <v>6000</v>
      </c>
      <c r="D4" s="2">
        <f>+D3*B4</f>
        <v>15000</v>
      </c>
      <c r="E4" s="2">
        <f>+E3*B4</f>
        <v>22500</v>
      </c>
      <c r="F4" s="2">
        <f>+F3*B4</f>
        <v>40000</v>
      </c>
    </row>
    <row r="5" spans="1:6">
      <c r="A5" t="s">
        <v>194</v>
      </c>
      <c r="B5" s="23">
        <v>0.15</v>
      </c>
      <c r="C5" s="2">
        <f>+C3*B5</f>
        <v>18000</v>
      </c>
      <c r="D5" s="2">
        <f>+D3*B5</f>
        <v>45000</v>
      </c>
      <c r="E5" s="2">
        <f>+E3*B5</f>
        <v>67500</v>
      </c>
      <c r="F5" s="2">
        <f>+F3*B5</f>
        <v>120000</v>
      </c>
    </row>
    <row r="6" spans="1:6">
      <c r="A6" t="s">
        <v>191</v>
      </c>
      <c r="B6" s="23">
        <v>0.65</v>
      </c>
      <c r="C6" s="2">
        <f>+C3*B6</f>
        <v>78000</v>
      </c>
      <c r="D6" s="2">
        <f>+D3*B6</f>
        <v>195000</v>
      </c>
      <c r="E6" s="2">
        <f>+E3*B6</f>
        <v>292500</v>
      </c>
      <c r="F6" s="2">
        <f>+F3*B6</f>
        <v>520000</v>
      </c>
    </row>
    <row r="7" spans="1:6">
      <c r="A7" t="s">
        <v>193</v>
      </c>
      <c r="B7" s="23">
        <v>0.15</v>
      </c>
      <c r="C7" s="2">
        <f>+C3*B7</f>
        <v>18000</v>
      </c>
      <c r="D7" s="2">
        <f>+D3*B7</f>
        <v>45000</v>
      </c>
      <c r="E7" s="2">
        <f>+E3*B7</f>
        <v>67500</v>
      </c>
      <c r="F7" s="2">
        <f>+F3*B7</f>
        <v>120000</v>
      </c>
    </row>
    <row r="8" spans="1:6">
      <c r="B8" s="23">
        <f>SUM(B4:B7)</f>
        <v>1</v>
      </c>
      <c r="C8" s="2"/>
      <c r="D8" s="2"/>
      <c r="E8" s="2"/>
      <c r="F8" s="2"/>
    </row>
    <row r="9" spans="1:6">
      <c r="B9" s="23"/>
      <c r="C9" s="2"/>
      <c r="D9" s="2"/>
      <c r="E9" s="2"/>
      <c r="F9" s="2"/>
    </row>
    <row r="10" spans="1:6" ht="15">
      <c r="A10" s="5" t="s">
        <v>195</v>
      </c>
      <c r="C10" s="2"/>
      <c r="D10" s="2"/>
      <c r="E10" s="2"/>
      <c r="F10" s="2"/>
    </row>
    <row r="11" spans="1:6">
      <c r="A11" t="s">
        <v>192</v>
      </c>
      <c r="B11" s="24"/>
      <c r="C11" s="2">
        <f t="shared" ref="C11:F14" si="0">+C4/12.5</f>
        <v>480</v>
      </c>
      <c r="D11" s="2">
        <f t="shared" si="0"/>
        <v>1200</v>
      </c>
      <c r="E11" s="2">
        <f t="shared" si="0"/>
        <v>1800</v>
      </c>
      <c r="F11" s="2">
        <f t="shared" si="0"/>
        <v>3200</v>
      </c>
    </row>
    <row r="12" spans="1:6">
      <c r="A12" t="s">
        <v>194</v>
      </c>
      <c r="B12" s="24"/>
      <c r="C12" s="2">
        <f t="shared" si="0"/>
        <v>1440</v>
      </c>
      <c r="D12" s="2">
        <f t="shared" si="0"/>
        <v>3600</v>
      </c>
      <c r="E12" s="2">
        <f t="shared" si="0"/>
        <v>5400</v>
      </c>
      <c r="F12" s="2">
        <f t="shared" si="0"/>
        <v>9600</v>
      </c>
    </row>
    <row r="13" spans="1:6">
      <c r="A13" t="s">
        <v>191</v>
      </c>
      <c r="C13" s="2">
        <f t="shared" si="0"/>
        <v>6240</v>
      </c>
      <c r="D13" s="2">
        <f t="shared" si="0"/>
        <v>15600</v>
      </c>
      <c r="E13" s="2">
        <f t="shared" si="0"/>
        <v>23400</v>
      </c>
      <c r="F13" s="2">
        <f t="shared" si="0"/>
        <v>41600</v>
      </c>
    </row>
    <row r="14" spans="1:6">
      <c r="A14" t="s">
        <v>193</v>
      </c>
      <c r="C14" s="2">
        <f t="shared" si="0"/>
        <v>1440</v>
      </c>
      <c r="D14" s="2">
        <f t="shared" si="0"/>
        <v>3600</v>
      </c>
      <c r="E14" s="2">
        <f t="shared" si="0"/>
        <v>5400</v>
      </c>
      <c r="F14" s="2">
        <f t="shared" si="0"/>
        <v>9600</v>
      </c>
    </row>
    <row r="15" spans="1:6">
      <c r="C15" s="2"/>
      <c r="D15" s="2"/>
      <c r="E15" s="2"/>
      <c r="F15" s="2"/>
    </row>
    <row r="16" spans="1:6" ht="15">
      <c r="A16" s="5" t="s">
        <v>196</v>
      </c>
      <c r="B16" s="5"/>
      <c r="C16" s="2"/>
      <c r="D16" s="2"/>
      <c r="E16" s="2"/>
      <c r="F16" s="2"/>
    </row>
    <row r="17" spans="1:6">
      <c r="A17" t="s">
        <v>192</v>
      </c>
      <c r="C17" s="2">
        <f t="shared" ref="C17:F20" si="1">+C11*0.3</f>
        <v>144</v>
      </c>
      <c r="D17" s="2">
        <f t="shared" si="1"/>
        <v>360</v>
      </c>
      <c r="E17" s="2">
        <f t="shared" si="1"/>
        <v>540</v>
      </c>
      <c r="F17" s="2">
        <f t="shared" si="1"/>
        <v>960</v>
      </c>
    </row>
    <row r="18" spans="1:6">
      <c r="A18" t="s">
        <v>194</v>
      </c>
      <c r="C18" s="2">
        <f t="shared" si="1"/>
        <v>432</v>
      </c>
      <c r="D18" s="2">
        <f t="shared" si="1"/>
        <v>1080</v>
      </c>
      <c r="E18" s="2">
        <f t="shared" si="1"/>
        <v>1620</v>
      </c>
      <c r="F18" s="2">
        <f t="shared" si="1"/>
        <v>2880</v>
      </c>
    </row>
    <row r="19" spans="1:6">
      <c r="A19" t="s">
        <v>191</v>
      </c>
      <c r="C19" s="2">
        <f t="shared" si="1"/>
        <v>1872</v>
      </c>
      <c r="D19" s="2">
        <f t="shared" si="1"/>
        <v>4680</v>
      </c>
      <c r="E19" s="2">
        <f t="shared" si="1"/>
        <v>7020</v>
      </c>
      <c r="F19" s="2">
        <f t="shared" si="1"/>
        <v>12480</v>
      </c>
    </row>
    <row r="20" spans="1:6">
      <c r="A20" t="s">
        <v>193</v>
      </c>
      <c r="C20" s="2">
        <f t="shared" si="1"/>
        <v>432</v>
      </c>
      <c r="D20" s="2">
        <f t="shared" si="1"/>
        <v>1080</v>
      </c>
      <c r="E20" s="2">
        <f t="shared" si="1"/>
        <v>1620</v>
      </c>
      <c r="F20" s="2">
        <f t="shared" si="1"/>
        <v>2880</v>
      </c>
    </row>
    <row r="22" spans="1:6">
      <c r="C22">
        <v>1872</v>
      </c>
      <c r="D22">
        <v>4680</v>
      </c>
      <c r="E22">
        <v>7020</v>
      </c>
      <c r="F22">
        <v>12480</v>
      </c>
    </row>
    <row r="23" spans="1:6">
      <c r="C23">
        <v>432</v>
      </c>
      <c r="D23">
        <v>1080</v>
      </c>
      <c r="E23">
        <v>1620</v>
      </c>
      <c r="F23">
        <v>2880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31"/>
  <sheetViews>
    <sheetView topLeftCell="A3" workbookViewId="0">
      <selection activeCell="B12" sqref="B12"/>
    </sheetView>
  </sheetViews>
  <sheetFormatPr defaultRowHeight="14.25"/>
  <cols>
    <col min="1" max="1" width="27.25" customWidth="1"/>
    <col min="2" max="2" width="10.5" customWidth="1"/>
    <col min="3" max="3" width="9.5" customWidth="1"/>
    <col min="4" max="4" width="9.625" customWidth="1"/>
    <col min="5" max="5" width="10.625" customWidth="1"/>
  </cols>
  <sheetData>
    <row r="2" spans="1:5">
      <c r="A2" t="s">
        <v>171</v>
      </c>
      <c r="B2">
        <v>1</v>
      </c>
      <c r="C2">
        <v>2</v>
      </c>
      <c r="D2">
        <v>3</v>
      </c>
      <c r="E2">
        <v>4</v>
      </c>
    </row>
    <row r="4" spans="1:5">
      <c r="A4" t="s">
        <v>154</v>
      </c>
    </row>
    <row r="5" spans="1:5">
      <c r="A5" t="s">
        <v>229</v>
      </c>
      <c r="B5" s="2">
        <v>100000</v>
      </c>
      <c r="C5" s="2">
        <v>125000</v>
      </c>
      <c r="D5" s="2">
        <v>150000</v>
      </c>
      <c r="E5" s="2">
        <v>125000</v>
      </c>
    </row>
    <row r="6" spans="1:5">
      <c r="A6" t="s">
        <v>230</v>
      </c>
      <c r="B6" s="2">
        <v>75000</v>
      </c>
      <c r="C6" s="2">
        <v>85000</v>
      </c>
      <c r="D6" s="2">
        <v>10000</v>
      </c>
      <c r="E6" s="2">
        <v>85000</v>
      </c>
    </row>
    <row r="7" spans="1:5">
      <c r="A7" t="s">
        <v>237</v>
      </c>
      <c r="B7" s="2">
        <v>30000</v>
      </c>
      <c r="C7" s="2">
        <v>75000</v>
      </c>
      <c r="D7" s="2">
        <v>75000</v>
      </c>
      <c r="E7" s="2">
        <v>75000</v>
      </c>
    </row>
    <row r="8" spans="1:5">
      <c r="A8" t="s">
        <v>3</v>
      </c>
      <c r="B8" s="2">
        <v>35000</v>
      </c>
      <c r="C8" s="2">
        <v>50000</v>
      </c>
      <c r="D8" s="2">
        <v>75000</v>
      </c>
      <c r="E8" s="2">
        <v>75000</v>
      </c>
    </row>
    <row r="9" spans="1:5">
      <c r="A9" t="s">
        <v>231</v>
      </c>
      <c r="B9" s="2">
        <v>30000</v>
      </c>
      <c r="C9" s="2">
        <v>40000</v>
      </c>
      <c r="D9" s="2">
        <v>40000</v>
      </c>
      <c r="E9" s="2">
        <v>40000</v>
      </c>
    </row>
    <row r="10" spans="1:5">
      <c r="A10" t="s">
        <v>232</v>
      </c>
      <c r="B10" s="2">
        <v>30000</v>
      </c>
      <c r="C10" s="2">
        <v>40000</v>
      </c>
      <c r="D10" s="2">
        <v>40000</v>
      </c>
      <c r="E10" s="2">
        <v>40000</v>
      </c>
    </row>
    <row r="11" spans="1:5">
      <c r="A11" t="s">
        <v>233</v>
      </c>
      <c r="B11" s="2">
        <v>30000</v>
      </c>
      <c r="C11" s="2">
        <v>40000</v>
      </c>
      <c r="D11" s="2">
        <v>40000</v>
      </c>
      <c r="E11" s="2">
        <v>40000</v>
      </c>
    </row>
    <row r="12" spans="1:5">
      <c r="A12" t="s">
        <v>64</v>
      </c>
      <c r="B12" s="2">
        <v>40000</v>
      </c>
      <c r="C12" s="2">
        <v>40000</v>
      </c>
      <c r="D12" s="2">
        <v>40000</v>
      </c>
      <c r="E12" s="2">
        <v>40000</v>
      </c>
    </row>
    <row r="13" spans="1:5">
      <c r="A13" t="s">
        <v>234</v>
      </c>
      <c r="B13" s="2">
        <v>0</v>
      </c>
      <c r="C13" s="2">
        <v>40000</v>
      </c>
      <c r="D13" s="2">
        <v>40000</v>
      </c>
      <c r="E13" s="2">
        <v>40000</v>
      </c>
    </row>
    <row r="14" spans="1:5">
      <c r="A14" t="s">
        <v>235</v>
      </c>
      <c r="B14" s="2">
        <v>0</v>
      </c>
      <c r="C14" s="2">
        <v>40000</v>
      </c>
      <c r="D14" s="2">
        <v>40000</v>
      </c>
      <c r="E14" s="2">
        <v>40000</v>
      </c>
    </row>
    <row r="15" spans="1:5">
      <c r="A15" t="s">
        <v>236</v>
      </c>
      <c r="B15" s="4">
        <v>0</v>
      </c>
      <c r="C15" s="4">
        <v>40000</v>
      </c>
      <c r="D15" s="4">
        <v>40000</v>
      </c>
      <c r="E15" s="4">
        <v>40000</v>
      </c>
    </row>
    <row r="16" spans="1:5">
      <c r="B16" s="2">
        <f>SUM(B5:B15)</f>
        <v>370000</v>
      </c>
      <c r="C16" s="2">
        <f>SUM(C5:C15)</f>
        <v>615000</v>
      </c>
      <c r="D16" s="2">
        <f>SUM(D5:D15)</f>
        <v>590000</v>
      </c>
      <c r="E16" s="2">
        <f>SUM(E5:E15)</f>
        <v>640000</v>
      </c>
    </row>
    <row r="17" spans="1:5">
      <c r="A17" t="s">
        <v>248</v>
      </c>
      <c r="B17" s="21">
        <f>+B16*0.3</f>
        <v>111000</v>
      </c>
      <c r="C17" s="21">
        <f>+C16*0.3</f>
        <v>184500</v>
      </c>
      <c r="D17" s="21">
        <f>+D16*0.3</f>
        <v>177000</v>
      </c>
      <c r="E17" s="21">
        <f>+E16*0.3</f>
        <v>192000</v>
      </c>
    </row>
    <row r="18" spans="1:5">
      <c r="A18" t="s">
        <v>135</v>
      </c>
      <c r="B18" s="2">
        <f>+B16+B17</f>
        <v>481000</v>
      </c>
      <c r="C18" s="2">
        <f>+C16+C17</f>
        <v>799500</v>
      </c>
      <c r="D18" s="2">
        <f>+D16+D17</f>
        <v>767000</v>
      </c>
      <c r="E18" s="2">
        <f>+E16+E17</f>
        <v>832000</v>
      </c>
    </row>
    <row r="21" spans="1:5" ht="15">
      <c r="A21" s="5" t="s">
        <v>246</v>
      </c>
    </row>
    <row r="22" spans="1:5">
      <c r="A22" t="s">
        <v>238</v>
      </c>
      <c r="B22">
        <v>1</v>
      </c>
      <c r="C22">
        <v>2</v>
      </c>
      <c r="D22">
        <v>2</v>
      </c>
      <c r="E22">
        <v>3</v>
      </c>
    </row>
    <row r="23" spans="1:5">
      <c r="A23" t="s">
        <v>239</v>
      </c>
      <c r="B23">
        <v>1</v>
      </c>
      <c r="C23">
        <v>2</v>
      </c>
      <c r="D23">
        <v>3</v>
      </c>
      <c r="E23">
        <v>4</v>
      </c>
    </row>
    <row r="24" spans="1:5">
      <c r="A24" t="s">
        <v>247</v>
      </c>
      <c r="B24">
        <v>1</v>
      </c>
      <c r="C24">
        <v>2</v>
      </c>
      <c r="D24">
        <v>3</v>
      </c>
      <c r="E24">
        <v>4</v>
      </c>
    </row>
    <row r="25" spans="1:5">
      <c r="A25" t="s">
        <v>240</v>
      </c>
      <c r="B25" s="21">
        <v>1</v>
      </c>
      <c r="C25" s="21">
        <v>2</v>
      </c>
      <c r="D25" s="21">
        <v>6</v>
      </c>
      <c r="E25" s="21">
        <v>8</v>
      </c>
    </row>
    <row r="26" spans="1:5">
      <c r="B26">
        <f>SUM(B22:B25)</f>
        <v>4</v>
      </c>
      <c r="C26">
        <f>SUM(C22:C25)</f>
        <v>8</v>
      </c>
      <c r="D26">
        <f>SUM(D22:D25)</f>
        <v>14</v>
      </c>
      <c r="E26">
        <f>SUM(E22:E25)</f>
        <v>19</v>
      </c>
    </row>
    <row r="28" spans="1:5">
      <c r="A28" t="s">
        <v>249</v>
      </c>
      <c r="B28" s="2">
        <v>25000</v>
      </c>
      <c r="C28" s="2">
        <v>25000</v>
      </c>
      <c r="D28" s="2">
        <v>25000</v>
      </c>
      <c r="E28" s="2">
        <v>25000</v>
      </c>
    </row>
    <row r="29" spans="1:5">
      <c r="A29" t="s">
        <v>135</v>
      </c>
      <c r="B29" s="2">
        <f>+B26*B28</f>
        <v>100000</v>
      </c>
      <c r="C29" s="2">
        <f>+C26*C28</f>
        <v>200000</v>
      </c>
      <c r="D29" s="2">
        <f>+D26*D28</f>
        <v>350000</v>
      </c>
      <c r="E29" s="2">
        <f>+E26*E28</f>
        <v>475000</v>
      </c>
    </row>
    <row r="30" spans="1:5">
      <c r="A30" t="s">
        <v>248</v>
      </c>
      <c r="B30" s="4">
        <f>+B29*0.3</f>
        <v>30000</v>
      </c>
      <c r="C30" s="4">
        <f>+C29*0.3</f>
        <v>60000</v>
      </c>
      <c r="D30" s="4">
        <f>+D29*0.3</f>
        <v>105000</v>
      </c>
      <c r="E30" s="4">
        <f>+E29*0.3</f>
        <v>142500</v>
      </c>
    </row>
    <row r="31" spans="1:5">
      <c r="B31" s="2">
        <f>+B29+B30</f>
        <v>130000</v>
      </c>
      <c r="C31" s="2">
        <f>+C29+C30</f>
        <v>260000</v>
      </c>
      <c r="D31" s="2">
        <f>+D29+D30</f>
        <v>455000</v>
      </c>
      <c r="E31" s="2">
        <f>+E29+E30</f>
        <v>617500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97"/>
  <sheetViews>
    <sheetView topLeftCell="A4" workbookViewId="0">
      <pane ySplit="2460" topLeftCell="A25" activePane="bottomLeft"/>
      <selection activeCell="L14" sqref="L14:O14"/>
      <selection pane="bottomLeft" activeCell="B93" sqref="B93"/>
    </sheetView>
  </sheetViews>
  <sheetFormatPr defaultRowHeight="14.25"/>
  <cols>
    <col min="1" max="1" width="22.375" customWidth="1"/>
    <col min="2" max="2" width="8.625" style="26" customWidth="1"/>
    <col min="3" max="3" width="8.75" style="26" customWidth="1"/>
    <col min="4" max="4" width="8.875" style="26" customWidth="1"/>
    <col min="5" max="5" width="10.125" style="26" customWidth="1"/>
    <col min="6" max="6" width="3" customWidth="1"/>
    <col min="7" max="7" width="9.375" style="26" customWidth="1"/>
    <col min="8" max="8" width="8.875" style="26" customWidth="1"/>
    <col min="9" max="9" width="8.5" style="26" customWidth="1"/>
    <col min="10" max="10" width="9" style="26" customWidth="1"/>
    <col min="11" max="11" width="2.5" customWidth="1"/>
    <col min="12" max="15" width="9" style="26"/>
  </cols>
  <sheetData>
    <row r="1" spans="1:15" ht="18">
      <c r="A1" s="34" t="s">
        <v>169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>
      <c r="A2" s="36" t="s">
        <v>170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4" spans="1:15">
      <c r="A4" t="s">
        <v>219</v>
      </c>
    </row>
    <row r="6" spans="1:15" ht="15">
      <c r="A6" s="5"/>
      <c r="B6" s="35" t="s">
        <v>141</v>
      </c>
      <c r="C6" s="35"/>
      <c r="D6" s="35"/>
      <c r="E6" s="35"/>
      <c r="F6" s="13"/>
      <c r="G6" s="35" t="s">
        <v>149</v>
      </c>
      <c r="H6" s="35"/>
      <c r="I6" s="35"/>
      <c r="J6" s="35"/>
      <c r="L6" s="35" t="s">
        <v>198</v>
      </c>
      <c r="M6" s="35"/>
      <c r="N6" s="35"/>
      <c r="O6" s="35"/>
    </row>
    <row r="7" spans="1:15" ht="15">
      <c r="A7" s="5" t="s">
        <v>171</v>
      </c>
      <c r="B7" s="25">
        <v>1</v>
      </c>
      <c r="C7" s="25">
        <v>2</v>
      </c>
      <c r="D7" s="25">
        <v>3</v>
      </c>
      <c r="E7" s="25">
        <v>4</v>
      </c>
      <c r="F7" s="14"/>
      <c r="G7" s="25">
        <v>1</v>
      </c>
      <c r="H7" s="25">
        <v>2</v>
      </c>
      <c r="I7" s="25">
        <v>3</v>
      </c>
      <c r="J7" s="25">
        <v>4</v>
      </c>
      <c r="L7" s="25">
        <v>1</v>
      </c>
      <c r="M7" s="25">
        <v>2</v>
      </c>
      <c r="N7" s="25">
        <v>3</v>
      </c>
      <c r="O7" s="25">
        <v>4</v>
      </c>
    </row>
    <row r="8" spans="1:15" ht="15">
      <c r="A8" s="5" t="s">
        <v>134</v>
      </c>
      <c r="B8" s="27">
        <f>+phase1visitors</f>
        <v>120000</v>
      </c>
      <c r="C8" s="27">
        <f>+phase2visitors</f>
        <v>300000</v>
      </c>
      <c r="D8" s="27">
        <f>+phase3visitors</f>
        <v>450000</v>
      </c>
      <c r="E8" s="27">
        <f>+phase4visitors</f>
        <v>800000</v>
      </c>
      <c r="F8" s="14"/>
      <c r="G8" s="27">
        <f>+phase1visitors</f>
        <v>120000</v>
      </c>
      <c r="H8" s="27">
        <f>+phase2visitors</f>
        <v>300000</v>
      </c>
      <c r="I8" s="27">
        <f>+phase3visitors</f>
        <v>450000</v>
      </c>
      <c r="J8" s="27">
        <f>+phase4visitors</f>
        <v>800000</v>
      </c>
      <c r="L8" s="27">
        <f>+phase1visitors</f>
        <v>120000</v>
      </c>
      <c r="M8" s="27">
        <f>+phase2visitors</f>
        <v>300000</v>
      </c>
      <c r="N8" s="27">
        <f>+phase3visitors</f>
        <v>450000</v>
      </c>
      <c r="O8" s="27">
        <f>+phase4visitors</f>
        <v>800000</v>
      </c>
    </row>
    <row r="9" spans="1:15" ht="15">
      <c r="A9" s="5" t="s">
        <v>197</v>
      </c>
      <c r="B9" s="28">
        <v>1872</v>
      </c>
      <c r="C9" s="28">
        <v>4680</v>
      </c>
      <c r="D9" s="28">
        <v>7020</v>
      </c>
      <c r="E9" s="28">
        <v>12480</v>
      </c>
      <c r="F9" s="14"/>
      <c r="G9" s="28">
        <v>1872</v>
      </c>
      <c r="H9" s="28">
        <v>4680</v>
      </c>
      <c r="I9" s="28">
        <v>7020</v>
      </c>
      <c r="J9" s="28">
        <v>12480</v>
      </c>
      <c r="L9" s="28">
        <v>1872</v>
      </c>
      <c r="M9" s="28">
        <v>4680</v>
      </c>
      <c r="N9" s="28">
        <v>7020</v>
      </c>
      <c r="O9" s="28">
        <v>12480</v>
      </c>
    </row>
    <row r="10" spans="1:15" ht="15">
      <c r="A10" s="5" t="s">
        <v>210</v>
      </c>
      <c r="B10" s="26">
        <v>432</v>
      </c>
      <c r="C10" s="26">
        <v>1080</v>
      </c>
      <c r="D10" s="26">
        <v>1620</v>
      </c>
      <c r="E10" s="26">
        <v>2880</v>
      </c>
      <c r="F10" s="14"/>
      <c r="G10" s="26">
        <v>432</v>
      </c>
      <c r="H10" s="26">
        <v>1080</v>
      </c>
      <c r="I10" s="26">
        <v>1620</v>
      </c>
      <c r="J10" s="26">
        <v>2880</v>
      </c>
      <c r="L10" s="26">
        <v>432</v>
      </c>
      <c r="M10" s="26">
        <v>1080</v>
      </c>
      <c r="N10" s="26">
        <v>1620</v>
      </c>
      <c r="O10" s="26">
        <v>2880</v>
      </c>
    </row>
    <row r="12" spans="1:15" ht="15">
      <c r="A12" s="5" t="s">
        <v>172</v>
      </c>
    </row>
    <row r="13" spans="1:15">
      <c r="A13" t="s">
        <v>173</v>
      </c>
      <c r="B13" s="26">
        <v>1</v>
      </c>
      <c r="C13" s="26">
        <v>2</v>
      </c>
      <c r="D13" s="26">
        <v>3</v>
      </c>
      <c r="E13" s="26">
        <v>4</v>
      </c>
      <c r="G13" s="26">
        <v>2</v>
      </c>
      <c r="H13" s="26">
        <v>4</v>
      </c>
      <c r="I13" s="26">
        <v>6</v>
      </c>
      <c r="J13" s="26">
        <v>8</v>
      </c>
      <c r="L13" s="26">
        <f t="shared" ref="L13:O16" si="0">+B13+G13</f>
        <v>3</v>
      </c>
      <c r="M13" s="26">
        <f t="shared" si="0"/>
        <v>6</v>
      </c>
      <c r="N13" s="26">
        <f t="shared" si="0"/>
        <v>9</v>
      </c>
      <c r="O13" s="26">
        <f t="shared" si="0"/>
        <v>12</v>
      </c>
    </row>
    <row r="14" spans="1:15">
      <c r="A14" t="s">
        <v>174</v>
      </c>
      <c r="B14" s="26">
        <v>0</v>
      </c>
      <c r="C14" s="26">
        <v>2</v>
      </c>
      <c r="D14" s="26">
        <v>3</v>
      </c>
      <c r="E14" s="26">
        <v>4</v>
      </c>
      <c r="G14" s="26">
        <v>2</v>
      </c>
      <c r="H14" s="26">
        <v>3</v>
      </c>
      <c r="I14" s="26">
        <v>4</v>
      </c>
      <c r="J14" s="26">
        <v>6</v>
      </c>
      <c r="L14" s="26">
        <f t="shared" si="0"/>
        <v>2</v>
      </c>
      <c r="M14" s="26">
        <f t="shared" si="0"/>
        <v>5</v>
      </c>
      <c r="N14" s="26">
        <f t="shared" si="0"/>
        <v>7</v>
      </c>
      <c r="O14" s="26">
        <f t="shared" si="0"/>
        <v>10</v>
      </c>
    </row>
    <row r="15" spans="1:15">
      <c r="A15" t="s">
        <v>175</v>
      </c>
      <c r="B15" s="29">
        <v>1</v>
      </c>
      <c r="C15" s="29">
        <v>2</v>
      </c>
      <c r="D15" s="29">
        <v>3</v>
      </c>
      <c r="E15" s="29">
        <v>4</v>
      </c>
      <c r="G15" s="29">
        <v>1</v>
      </c>
      <c r="H15" s="29">
        <v>2</v>
      </c>
      <c r="I15" s="29">
        <v>3</v>
      </c>
      <c r="J15" s="29">
        <v>4</v>
      </c>
      <c r="L15" s="29">
        <f t="shared" si="0"/>
        <v>2</v>
      </c>
      <c r="M15" s="29">
        <f t="shared" si="0"/>
        <v>4</v>
      </c>
      <c r="N15" s="29">
        <f t="shared" si="0"/>
        <v>6</v>
      </c>
      <c r="O15" s="29">
        <f t="shared" si="0"/>
        <v>8</v>
      </c>
    </row>
    <row r="16" spans="1:15">
      <c r="B16" s="26">
        <f>SUM(B13:B15)</f>
        <v>2</v>
      </c>
      <c r="C16" s="26">
        <f>SUM(C13:C15)</f>
        <v>6</v>
      </c>
      <c r="D16" s="26">
        <f>SUM(D13:D15)</f>
        <v>9</v>
      </c>
      <c r="E16" s="26">
        <f>SUM(E13:E15)</f>
        <v>12</v>
      </c>
      <c r="H16" s="26">
        <f>SUM(H13:H15)</f>
        <v>9</v>
      </c>
      <c r="I16" s="26">
        <f>SUM(I13:I15)</f>
        <v>13</v>
      </c>
      <c r="J16" s="26">
        <f>SUM(J13:J15)</f>
        <v>18</v>
      </c>
      <c r="L16" s="26">
        <f t="shared" si="0"/>
        <v>2</v>
      </c>
      <c r="M16" s="26">
        <f t="shared" si="0"/>
        <v>15</v>
      </c>
      <c r="N16" s="26">
        <f t="shared" si="0"/>
        <v>22</v>
      </c>
      <c r="O16" s="26">
        <f t="shared" si="0"/>
        <v>30</v>
      </c>
    </row>
    <row r="18" spans="1:15" ht="15">
      <c r="A18" s="5" t="s">
        <v>8</v>
      </c>
    </row>
    <row r="19" spans="1:15">
      <c r="A19" t="s">
        <v>241</v>
      </c>
      <c r="B19" s="26">
        <v>1</v>
      </c>
      <c r="C19" s="26">
        <v>2</v>
      </c>
      <c r="D19" s="26">
        <v>4</v>
      </c>
      <c r="E19" s="26">
        <v>4</v>
      </c>
      <c r="G19" s="26">
        <v>0</v>
      </c>
      <c r="H19" s="26">
        <v>0</v>
      </c>
      <c r="I19" s="26">
        <v>0</v>
      </c>
      <c r="J19" s="26">
        <v>0</v>
      </c>
      <c r="L19" s="26">
        <f t="shared" ref="L19:O22" si="1">+B19+G19</f>
        <v>1</v>
      </c>
      <c r="M19" s="26">
        <f t="shared" si="1"/>
        <v>2</v>
      </c>
      <c r="N19" s="26">
        <f t="shared" si="1"/>
        <v>4</v>
      </c>
      <c r="O19" s="26">
        <f t="shared" si="1"/>
        <v>4</v>
      </c>
    </row>
    <row r="20" spans="1:15">
      <c r="A20" t="s">
        <v>199</v>
      </c>
      <c r="B20" s="26">
        <v>1</v>
      </c>
      <c r="C20" s="26">
        <v>2</v>
      </c>
      <c r="D20" s="26">
        <v>4</v>
      </c>
      <c r="E20" s="26">
        <v>4</v>
      </c>
      <c r="G20" s="26">
        <v>0</v>
      </c>
      <c r="H20" s="26">
        <v>2</v>
      </c>
      <c r="I20" s="26">
        <v>3</v>
      </c>
      <c r="J20" s="26">
        <v>4</v>
      </c>
      <c r="L20" s="26">
        <f t="shared" si="1"/>
        <v>1</v>
      </c>
      <c r="M20" s="26">
        <f t="shared" si="1"/>
        <v>4</v>
      </c>
      <c r="N20" s="26">
        <f t="shared" si="1"/>
        <v>7</v>
      </c>
      <c r="O20" s="26">
        <f t="shared" si="1"/>
        <v>8</v>
      </c>
    </row>
    <row r="21" spans="1:15">
      <c r="A21" t="s">
        <v>176</v>
      </c>
      <c r="B21" s="29">
        <v>0</v>
      </c>
      <c r="C21" s="29">
        <v>0</v>
      </c>
      <c r="D21" s="29">
        <v>1</v>
      </c>
      <c r="E21" s="29">
        <v>1</v>
      </c>
      <c r="F21" t="s">
        <v>16</v>
      </c>
      <c r="G21" s="29">
        <v>0</v>
      </c>
      <c r="H21" s="29">
        <v>0</v>
      </c>
      <c r="I21" s="29">
        <v>0</v>
      </c>
      <c r="J21" s="29">
        <v>0</v>
      </c>
      <c r="L21" s="29">
        <f t="shared" si="1"/>
        <v>0</v>
      </c>
      <c r="M21" s="29">
        <f t="shared" si="1"/>
        <v>0</v>
      </c>
      <c r="N21" s="29">
        <f t="shared" si="1"/>
        <v>1</v>
      </c>
      <c r="O21" s="29">
        <f t="shared" si="1"/>
        <v>1</v>
      </c>
    </row>
    <row r="22" spans="1:15">
      <c r="B22" s="26">
        <f>SUM(B19:B21)</f>
        <v>2</v>
      </c>
      <c r="C22" s="26">
        <f>SUM(C19:C21)</f>
        <v>4</v>
      </c>
      <c r="D22" s="26">
        <f>SUM(D19:D21)</f>
        <v>9</v>
      </c>
      <c r="E22" s="26">
        <f>SUM(E19:E21)</f>
        <v>9</v>
      </c>
      <c r="G22" s="26">
        <f>SUM(G19:G21)</f>
        <v>0</v>
      </c>
      <c r="H22" s="26">
        <f>SUM(H19:H21)</f>
        <v>2</v>
      </c>
      <c r="I22" s="26">
        <f>SUM(I19:I21)</f>
        <v>3</v>
      </c>
      <c r="J22" s="26">
        <f>SUM(J19:J21)</f>
        <v>4</v>
      </c>
      <c r="L22" s="26">
        <f t="shared" si="1"/>
        <v>2</v>
      </c>
      <c r="M22" s="26">
        <f t="shared" si="1"/>
        <v>6</v>
      </c>
      <c r="N22" s="26">
        <f t="shared" si="1"/>
        <v>12</v>
      </c>
      <c r="O22" s="26">
        <f t="shared" si="1"/>
        <v>13</v>
      </c>
    </row>
    <row r="24" spans="1:15" ht="15">
      <c r="A24" s="5" t="s">
        <v>215</v>
      </c>
    </row>
    <row r="25" spans="1:15">
      <c r="A25" t="s">
        <v>201</v>
      </c>
      <c r="B25" s="26">
        <v>1</v>
      </c>
      <c r="C25" s="26">
        <v>2</v>
      </c>
      <c r="D25" s="26">
        <v>2</v>
      </c>
      <c r="E25" s="26">
        <v>3</v>
      </c>
      <c r="G25" s="26">
        <v>1</v>
      </c>
      <c r="H25" s="26">
        <v>2</v>
      </c>
      <c r="I25" s="26">
        <v>2</v>
      </c>
      <c r="J25" s="26">
        <v>3</v>
      </c>
      <c r="L25" s="26">
        <f t="shared" ref="L25:L35" si="2">+B25+G25</f>
        <v>2</v>
      </c>
      <c r="M25" s="26">
        <f t="shared" ref="M25:M35" si="3">+C25+H25</f>
        <v>4</v>
      </c>
      <c r="N25" s="26">
        <f t="shared" ref="N25:N35" si="4">+D25+I25</f>
        <v>4</v>
      </c>
      <c r="O25" s="26">
        <f t="shared" ref="O25:O35" si="5">+E25+J25</f>
        <v>6</v>
      </c>
    </row>
    <row r="26" spans="1:15">
      <c r="A26" t="s">
        <v>202</v>
      </c>
      <c r="B26" s="26">
        <v>3</v>
      </c>
      <c r="C26" s="26">
        <v>2</v>
      </c>
      <c r="D26" s="26">
        <v>3</v>
      </c>
      <c r="E26" s="26">
        <v>4</v>
      </c>
      <c r="G26" s="26">
        <v>2</v>
      </c>
      <c r="H26" s="26">
        <v>6</v>
      </c>
      <c r="I26" s="26">
        <v>9</v>
      </c>
      <c r="J26" s="26">
        <v>12</v>
      </c>
      <c r="L26" s="26">
        <f t="shared" si="2"/>
        <v>5</v>
      </c>
      <c r="M26" s="26">
        <f t="shared" si="3"/>
        <v>8</v>
      </c>
      <c r="N26" s="26">
        <f t="shared" si="4"/>
        <v>12</v>
      </c>
      <c r="O26" s="26">
        <f t="shared" si="5"/>
        <v>16</v>
      </c>
    </row>
    <row r="27" spans="1:15">
      <c r="A27" t="s">
        <v>207</v>
      </c>
      <c r="B27" s="26">
        <v>4</v>
      </c>
      <c r="C27" s="26">
        <v>6</v>
      </c>
      <c r="D27" s="26">
        <v>8</v>
      </c>
      <c r="E27" s="26">
        <v>10</v>
      </c>
      <c r="G27" s="26">
        <v>2</v>
      </c>
      <c r="H27" s="26">
        <v>4</v>
      </c>
      <c r="I27" s="26">
        <v>6</v>
      </c>
      <c r="J27" s="26">
        <v>8</v>
      </c>
      <c r="L27" s="26">
        <f t="shared" si="2"/>
        <v>6</v>
      </c>
      <c r="M27" s="26">
        <f t="shared" si="3"/>
        <v>10</v>
      </c>
      <c r="N27" s="26">
        <f t="shared" si="4"/>
        <v>14</v>
      </c>
      <c r="O27" s="26">
        <f t="shared" si="5"/>
        <v>18</v>
      </c>
    </row>
    <row r="28" spans="1:15">
      <c r="A28" t="s">
        <v>208</v>
      </c>
      <c r="B28" s="26">
        <v>2</v>
      </c>
      <c r="C28" s="26">
        <v>4</v>
      </c>
      <c r="D28" s="26">
        <v>5</v>
      </c>
      <c r="E28" s="26">
        <v>6</v>
      </c>
      <c r="G28" s="26">
        <v>1</v>
      </c>
      <c r="H28" s="26">
        <v>2</v>
      </c>
      <c r="I28" s="26">
        <v>3</v>
      </c>
      <c r="J28" s="26">
        <v>4</v>
      </c>
      <c r="L28" s="26">
        <f t="shared" si="2"/>
        <v>3</v>
      </c>
      <c r="M28" s="26">
        <f t="shared" si="3"/>
        <v>6</v>
      </c>
      <c r="N28" s="26">
        <f t="shared" si="4"/>
        <v>8</v>
      </c>
      <c r="O28" s="26">
        <f t="shared" si="5"/>
        <v>10</v>
      </c>
    </row>
    <row r="29" spans="1:15">
      <c r="A29" t="s">
        <v>203</v>
      </c>
      <c r="B29" s="26">
        <v>9</v>
      </c>
      <c r="C29" s="26">
        <v>9</v>
      </c>
      <c r="D29" s="26">
        <v>12</v>
      </c>
      <c r="E29" s="26">
        <v>12</v>
      </c>
      <c r="G29" s="26">
        <v>2</v>
      </c>
      <c r="H29" s="26">
        <v>4</v>
      </c>
      <c r="I29" s="26">
        <v>6</v>
      </c>
      <c r="J29" s="26">
        <v>8</v>
      </c>
      <c r="L29" s="26">
        <f t="shared" si="2"/>
        <v>11</v>
      </c>
      <c r="M29" s="26">
        <f t="shared" si="3"/>
        <v>13</v>
      </c>
      <c r="N29" s="26">
        <f t="shared" si="4"/>
        <v>18</v>
      </c>
      <c r="O29" s="26">
        <f t="shared" si="5"/>
        <v>20</v>
      </c>
    </row>
    <row r="30" spans="1:15">
      <c r="A30" t="s">
        <v>211</v>
      </c>
      <c r="B30" s="26">
        <v>2</v>
      </c>
      <c r="C30" s="26">
        <v>3</v>
      </c>
      <c r="D30" s="26">
        <v>4</v>
      </c>
      <c r="E30" s="26">
        <v>5</v>
      </c>
      <c r="G30" s="26">
        <v>2</v>
      </c>
      <c r="H30" s="26">
        <v>4</v>
      </c>
      <c r="I30" s="26">
        <v>6</v>
      </c>
      <c r="J30" s="26">
        <v>8</v>
      </c>
      <c r="L30" s="26">
        <f t="shared" si="2"/>
        <v>4</v>
      </c>
      <c r="M30" s="26">
        <f t="shared" si="3"/>
        <v>7</v>
      </c>
      <c r="N30" s="26">
        <f t="shared" si="4"/>
        <v>10</v>
      </c>
      <c r="O30" s="26">
        <f t="shared" si="5"/>
        <v>13</v>
      </c>
    </row>
    <row r="31" spans="1:15">
      <c r="A31" t="s">
        <v>209</v>
      </c>
      <c r="B31" s="26">
        <v>2</v>
      </c>
      <c r="C31" s="26">
        <v>2</v>
      </c>
      <c r="D31" s="26">
        <v>2</v>
      </c>
      <c r="E31" s="26">
        <v>2</v>
      </c>
      <c r="G31" s="26">
        <v>0</v>
      </c>
      <c r="H31" s="26">
        <v>1</v>
      </c>
      <c r="I31" s="26">
        <v>2</v>
      </c>
      <c r="J31" s="26">
        <v>3</v>
      </c>
      <c r="L31" s="26">
        <f t="shared" si="2"/>
        <v>2</v>
      </c>
      <c r="M31" s="26">
        <f t="shared" si="3"/>
        <v>3</v>
      </c>
      <c r="N31" s="26">
        <f t="shared" si="4"/>
        <v>4</v>
      </c>
      <c r="O31" s="26">
        <f t="shared" si="5"/>
        <v>5</v>
      </c>
    </row>
    <row r="32" spans="1:15">
      <c r="A32" t="s">
        <v>212</v>
      </c>
      <c r="B32" s="26">
        <v>2</v>
      </c>
      <c r="C32" s="26">
        <v>4</v>
      </c>
      <c r="D32" s="26">
        <v>6</v>
      </c>
      <c r="E32" s="26">
        <v>8</v>
      </c>
      <c r="G32" s="26">
        <v>2</v>
      </c>
      <c r="H32" s="26">
        <v>4</v>
      </c>
      <c r="I32" s="26">
        <v>6</v>
      </c>
      <c r="J32" s="26">
        <v>8</v>
      </c>
      <c r="L32" s="26">
        <f t="shared" si="2"/>
        <v>4</v>
      </c>
      <c r="M32" s="26">
        <f t="shared" si="3"/>
        <v>8</v>
      </c>
      <c r="N32" s="26">
        <f t="shared" si="4"/>
        <v>12</v>
      </c>
      <c r="O32" s="26">
        <f t="shared" si="5"/>
        <v>16</v>
      </c>
    </row>
    <row r="33" spans="1:15">
      <c r="A33" t="s">
        <v>204</v>
      </c>
      <c r="B33" s="26">
        <v>1</v>
      </c>
      <c r="C33" s="26">
        <v>2</v>
      </c>
      <c r="D33" s="26">
        <v>3</v>
      </c>
      <c r="E33" s="26">
        <v>3</v>
      </c>
      <c r="G33" s="26">
        <v>0</v>
      </c>
      <c r="H33" s="26">
        <v>1</v>
      </c>
      <c r="I33" s="26">
        <v>2</v>
      </c>
      <c r="J33" s="26">
        <v>3</v>
      </c>
      <c r="L33" s="26">
        <f t="shared" si="2"/>
        <v>1</v>
      </c>
      <c r="M33" s="26">
        <f t="shared" si="3"/>
        <v>3</v>
      </c>
      <c r="N33" s="26">
        <f t="shared" si="4"/>
        <v>5</v>
      </c>
      <c r="O33" s="26">
        <f t="shared" si="5"/>
        <v>6</v>
      </c>
    </row>
    <row r="34" spans="1:15">
      <c r="A34" t="s">
        <v>205</v>
      </c>
      <c r="B34" s="26">
        <v>1</v>
      </c>
      <c r="C34" s="26">
        <v>2</v>
      </c>
      <c r="D34" s="26">
        <v>3</v>
      </c>
      <c r="E34" s="26">
        <v>4</v>
      </c>
      <c r="G34" s="26">
        <v>0</v>
      </c>
      <c r="H34" s="26">
        <v>1</v>
      </c>
      <c r="I34" s="26">
        <v>2</v>
      </c>
      <c r="J34" s="26">
        <v>3</v>
      </c>
      <c r="L34" s="26">
        <f t="shared" si="2"/>
        <v>1</v>
      </c>
      <c r="M34" s="26">
        <f t="shared" si="3"/>
        <v>3</v>
      </c>
      <c r="N34" s="26">
        <f t="shared" si="4"/>
        <v>5</v>
      </c>
      <c r="O34" s="26">
        <f t="shared" si="5"/>
        <v>7</v>
      </c>
    </row>
    <row r="35" spans="1:15">
      <c r="A35" t="s">
        <v>206</v>
      </c>
      <c r="B35" s="29">
        <v>1</v>
      </c>
      <c r="C35" s="29">
        <v>2</v>
      </c>
      <c r="D35" s="29">
        <v>3</v>
      </c>
      <c r="E35" s="29">
        <v>2</v>
      </c>
      <c r="G35" s="29">
        <v>0</v>
      </c>
      <c r="H35" s="29">
        <v>1</v>
      </c>
      <c r="I35" s="29">
        <v>2</v>
      </c>
      <c r="J35" s="29">
        <v>3</v>
      </c>
      <c r="L35" s="29">
        <f t="shared" si="2"/>
        <v>1</v>
      </c>
      <c r="M35" s="29">
        <f t="shared" si="3"/>
        <v>3</v>
      </c>
      <c r="N35" s="29">
        <f t="shared" si="4"/>
        <v>5</v>
      </c>
      <c r="O35" s="29">
        <f t="shared" si="5"/>
        <v>5</v>
      </c>
    </row>
    <row r="36" spans="1:15">
      <c r="B36" s="26">
        <f>SUM(B25:B35)</f>
        <v>28</v>
      </c>
      <c r="C36" s="26">
        <f>SUM(C25:C35)</f>
        <v>38</v>
      </c>
      <c r="D36" s="26">
        <f>SUM(D25:D35)</f>
        <v>51</v>
      </c>
      <c r="E36" s="26">
        <f>SUM(E25:E35)</f>
        <v>59</v>
      </c>
      <c r="G36" s="26">
        <f>SUM(G25:G35)</f>
        <v>12</v>
      </c>
      <c r="H36" s="26">
        <f>SUM(H25:H35)</f>
        <v>30</v>
      </c>
      <c r="I36" s="26">
        <f>SUM(I25:I35)</f>
        <v>46</v>
      </c>
      <c r="J36" s="26">
        <f>SUM(J25:J35)</f>
        <v>63</v>
      </c>
      <c r="L36" s="26">
        <f>SUM(L25:L35)</f>
        <v>40</v>
      </c>
      <c r="M36" s="26">
        <f>SUM(M25:M35)</f>
        <v>68</v>
      </c>
      <c r="N36" s="26">
        <f>SUM(N25:N35)</f>
        <v>97</v>
      </c>
      <c r="O36" s="26">
        <f>SUM(O25:O35)</f>
        <v>122</v>
      </c>
    </row>
    <row r="38" spans="1:15" ht="15">
      <c r="A38" s="5" t="s">
        <v>214</v>
      </c>
    </row>
    <row r="39" spans="1:15" ht="15">
      <c r="A39" s="5" t="s">
        <v>177</v>
      </c>
    </row>
    <row r="40" spans="1:15">
      <c r="A40" t="s">
        <v>200</v>
      </c>
      <c r="B40" s="26">
        <v>0</v>
      </c>
      <c r="C40" s="26">
        <v>15</v>
      </c>
      <c r="D40" s="26">
        <v>20</v>
      </c>
      <c r="E40" s="26">
        <v>25</v>
      </c>
      <c r="G40" s="26">
        <v>0</v>
      </c>
      <c r="H40" s="26">
        <v>8</v>
      </c>
      <c r="I40" s="26">
        <v>10</v>
      </c>
      <c r="J40" s="26">
        <v>12</v>
      </c>
      <c r="L40" s="26">
        <f t="shared" ref="L40:L42" si="6">+B40+G40</f>
        <v>0</v>
      </c>
      <c r="M40" s="26">
        <f t="shared" ref="M40:M42" si="7">+C40+H40</f>
        <v>23</v>
      </c>
      <c r="N40" s="26">
        <f t="shared" ref="N40:N42" si="8">+D40+I40</f>
        <v>30</v>
      </c>
      <c r="O40" s="26">
        <f t="shared" ref="O40:O42" si="9">+E40+J40</f>
        <v>37</v>
      </c>
    </row>
    <row r="41" spans="1:15">
      <c r="A41" t="s">
        <v>20</v>
      </c>
      <c r="B41" s="26">
        <v>0</v>
      </c>
      <c r="C41" s="26">
        <v>4</v>
      </c>
      <c r="D41" s="26">
        <v>6</v>
      </c>
      <c r="E41" s="26">
        <v>12</v>
      </c>
      <c r="G41" s="26">
        <v>0</v>
      </c>
      <c r="H41" s="26">
        <v>2</v>
      </c>
      <c r="I41" s="26">
        <v>4</v>
      </c>
      <c r="J41" s="26">
        <v>6</v>
      </c>
      <c r="L41" s="26">
        <f t="shared" si="6"/>
        <v>0</v>
      </c>
      <c r="M41" s="26">
        <f t="shared" si="7"/>
        <v>6</v>
      </c>
      <c r="N41" s="26">
        <f t="shared" si="8"/>
        <v>10</v>
      </c>
      <c r="O41" s="26">
        <f t="shared" si="9"/>
        <v>18</v>
      </c>
    </row>
    <row r="42" spans="1:15">
      <c r="A42" t="s">
        <v>213</v>
      </c>
      <c r="B42" s="29">
        <v>0</v>
      </c>
      <c r="C42" s="30">
        <v>2</v>
      </c>
      <c r="D42" s="30">
        <v>1</v>
      </c>
      <c r="E42" s="29">
        <v>2</v>
      </c>
      <c r="G42" s="29">
        <v>0</v>
      </c>
      <c r="H42" s="30">
        <v>2</v>
      </c>
      <c r="I42" s="30">
        <v>3</v>
      </c>
      <c r="J42" s="29">
        <v>4</v>
      </c>
      <c r="L42" s="29">
        <f t="shared" si="6"/>
        <v>0</v>
      </c>
      <c r="M42" s="29">
        <f t="shared" si="7"/>
        <v>4</v>
      </c>
      <c r="N42" s="29">
        <f t="shared" si="8"/>
        <v>4</v>
      </c>
      <c r="O42" s="29">
        <f t="shared" si="9"/>
        <v>6</v>
      </c>
    </row>
    <row r="43" spans="1:15">
      <c r="B43" s="26">
        <f>SUM(B40:B42)</f>
        <v>0</v>
      </c>
      <c r="C43" s="26">
        <f>SUM(C40:C42)</f>
        <v>21</v>
      </c>
      <c r="D43" s="26">
        <f>SUM(D40:D42)</f>
        <v>27</v>
      </c>
      <c r="E43" s="26">
        <f>SUM(E40:E42)</f>
        <v>39</v>
      </c>
      <c r="G43" s="26">
        <f>SUM(G40:G42)</f>
        <v>0</v>
      </c>
      <c r="H43" s="26">
        <f>SUM(H40:H42)</f>
        <v>12</v>
      </c>
      <c r="I43" s="26">
        <f>SUM(I40:I42)</f>
        <v>17</v>
      </c>
      <c r="J43" s="26">
        <f>SUM(J40:J42)</f>
        <v>22</v>
      </c>
      <c r="L43" s="26">
        <f>SUM(L40:L42)</f>
        <v>0</v>
      </c>
      <c r="M43" s="26">
        <f>SUM(M40:M42)</f>
        <v>33</v>
      </c>
      <c r="N43" s="26">
        <f>SUM(N40:N42)</f>
        <v>44</v>
      </c>
      <c r="O43" s="26">
        <f>SUM(O40:O42)</f>
        <v>61</v>
      </c>
    </row>
    <row r="45" spans="1:15" ht="15">
      <c r="A45" s="5" t="s">
        <v>178</v>
      </c>
    </row>
    <row r="46" spans="1:15">
      <c r="A46" t="s">
        <v>179</v>
      </c>
      <c r="B46" s="26">
        <v>0</v>
      </c>
      <c r="C46" s="26">
        <v>3</v>
      </c>
      <c r="D46" s="26">
        <v>2</v>
      </c>
      <c r="E46" s="26">
        <v>3</v>
      </c>
      <c r="G46" s="26">
        <v>0</v>
      </c>
      <c r="H46" s="26">
        <v>1</v>
      </c>
      <c r="I46" s="26">
        <v>1</v>
      </c>
      <c r="J46" s="26">
        <v>2</v>
      </c>
      <c r="L46" s="26">
        <f t="shared" ref="L46:L49" si="10">+B46+G46</f>
        <v>0</v>
      </c>
      <c r="M46" s="26">
        <f t="shared" ref="M46:M49" si="11">+C46+H46</f>
        <v>4</v>
      </c>
      <c r="N46" s="26">
        <f t="shared" ref="N46:N49" si="12">+D46+I46</f>
        <v>3</v>
      </c>
      <c r="O46" s="26">
        <f t="shared" ref="O46:O49" si="13">+E46+J46</f>
        <v>5</v>
      </c>
    </row>
    <row r="47" spans="1:15">
      <c r="A47" t="s">
        <v>243</v>
      </c>
      <c r="B47" s="26">
        <v>0</v>
      </c>
      <c r="C47" s="26">
        <v>2</v>
      </c>
      <c r="D47" s="26">
        <v>4</v>
      </c>
      <c r="E47" s="26">
        <v>4</v>
      </c>
      <c r="G47" s="26">
        <v>0</v>
      </c>
      <c r="H47" s="26">
        <v>1</v>
      </c>
      <c r="I47" s="26">
        <v>2</v>
      </c>
      <c r="J47" s="26">
        <v>3</v>
      </c>
      <c r="L47" s="26">
        <f t="shared" ref="L47" si="14">+B47+G47</f>
        <v>0</v>
      </c>
      <c r="M47" s="26">
        <f t="shared" ref="M47" si="15">+C47+H47</f>
        <v>3</v>
      </c>
      <c r="N47" s="26">
        <f t="shared" ref="N47" si="16">+D47+I47</f>
        <v>6</v>
      </c>
      <c r="O47" s="26">
        <f t="shared" ref="O47" si="17">+E47+J47</f>
        <v>7</v>
      </c>
    </row>
    <row r="48" spans="1:15">
      <c r="A48" t="s">
        <v>180</v>
      </c>
      <c r="B48" s="26">
        <v>0</v>
      </c>
      <c r="C48" s="26">
        <v>10</v>
      </c>
      <c r="D48" s="26">
        <v>14</v>
      </c>
      <c r="E48" s="31">
        <v>18</v>
      </c>
      <c r="G48" s="26">
        <v>0</v>
      </c>
      <c r="H48" s="26">
        <v>8</v>
      </c>
      <c r="I48" s="26">
        <v>12</v>
      </c>
      <c r="J48" s="26">
        <v>15</v>
      </c>
      <c r="L48" s="26">
        <f t="shared" si="10"/>
        <v>0</v>
      </c>
      <c r="M48" s="26">
        <f t="shared" si="11"/>
        <v>18</v>
      </c>
      <c r="N48" s="26">
        <f t="shared" si="12"/>
        <v>26</v>
      </c>
      <c r="O48" s="26">
        <f t="shared" si="13"/>
        <v>33</v>
      </c>
    </row>
    <row r="49" spans="1:15">
      <c r="A49" t="s">
        <v>181</v>
      </c>
      <c r="B49" s="29">
        <v>0</v>
      </c>
      <c r="C49" s="29">
        <v>10</v>
      </c>
      <c r="D49" s="29">
        <v>14</v>
      </c>
      <c r="E49" s="29">
        <v>19</v>
      </c>
      <c r="G49" s="29">
        <v>0</v>
      </c>
      <c r="H49" s="29">
        <v>9</v>
      </c>
      <c r="I49" s="29">
        <v>12</v>
      </c>
      <c r="J49" s="29">
        <v>15</v>
      </c>
      <c r="L49" s="29">
        <f t="shared" si="10"/>
        <v>0</v>
      </c>
      <c r="M49" s="29">
        <f t="shared" si="11"/>
        <v>19</v>
      </c>
      <c r="N49" s="29">
        <f t="shared" si="12"/>
        <v>26</v>
      </c>
      <c r="O49" s="29">
        <f t="shared" si="13"/>
        <v>34</v>
      </c>
    </row>
    <row r="50" spans="1:15">
      <c r="B50" s="26">
        <f>SUM(B46:B49)</f>
        <v>0</v>
      </c>
      <c r="C50" s="26">
        <f>SUM(C46:C49)</f>
        <v>25</v>
      </c>
      <c r="D50" s="26">
        <f>SUM(D46:D49)</f>
        <v>34</v>
      </c>
      <c r="E50" s="26">
        <f>SUM(E46:E49)</f>
        <v>44</v>
      </c>
      <c r="G50" s="26">
        <f>SUM(G46:G49)</f>
        <v>0</v>
      </c>
      <c r="H50" s="26">
        <f>SUM(H46:H49)</f>
        <v>19</v>
      </c>
      <c r="I50" s="26">
        <f>SUM(I46:I49)</f>
        <v>27</v>
      </c>
      <c r="J50" s="26">
        <f>SUM(J46:J49)</f>
        <v>35</v>
      </c>
      <c r="L50" s="26">
        <f>SUM(L46:L49)</f>
        <v>0</v>
      </c>
      <c r="M50" s="26">
        <f>SUM(M46:M49)</f>
        <v>44</v>
      </c>
      <c r="N50" s="26">
        <f>SUM(N46:N49)</f>
        <v>61</v>
      </c>
      <c r="O50" s="26">
        <f>SUM(O46:O49)</f>
        <v>79</v>
      </c>
    </row>
    <row r="51" spans="1:15" ht="15">
      <c r="A51" s="5" t="s">
        <v>216</v>
      </c>
    </row>
    <row r="52" spans="1:15" ht="15">
      <c r="A52" s="5" t="s">
        <v>220</v>
      </c>
    </row>
    <row r="53" spans="1:15">
      <c r="A53" t="s">
        <v>182</v>
      </c>
      <c r="B53" s="26">
        <v>0</v>
      </c>
      <c r="C53" s="26">
        <v>0</v>
      </c>
      <c r="D53" s="26">
        <v>2</v>
      </c>
      <c r="E53" s="26">
        <v>3</v>
      </c>
      <c r="G53" s="26">
        <v>0</v>
      </c>
      <c r="H53" s="26">
        <v>0</v>
      </c>
      <c r="I53" s="26">
        <v>4</v>
      </c>
      <c r="J53" s="26">
        <v>8</v>
      </c>
      <c r="L53" s="26">
        <f t="shared" ref="L53:L55" si="18">+B53+G53</f>
        <v>0</v>
      </c>
      <c r="M53" s="26">
        <f t="shared" ref="M53:M55" si="19">+C53+H53</f>
        <v>0</v>
      </c>
      <c r="N53" s="26">
        <f t="shared" ref="N53:N55" si="20">+D53+I53</f>
        <v>6</v>
      </c>
      <c r="O53" s="26">
        <f t="shared" ref="O53:O55" si="21">+E53+J53</f>
        <v>11</v>
      </c>
    </row>
    <row r="54" spans="1:15">
      <c r="A54" t="s">
        <v>183</v>
      </c>
      <c r="B54" s="26">
        <v>0</v>
      </c>
      <c r="C54" s="26">
        <v>0</v>
      </c>
      <c r="D54" s="26">
        <v>1</v>
      </c>
      <c r="E54" s="26">
        <v>1</v>
      </c>
      <c r="G54" s="26">
        <v>0</v>
      </c>
      <c r="H54" s="26">
        <v>0</v>
      </c>
      <c r="I54" s="26">
        <v>0</v>
      </c>
      <c r="L54" s="26">
        <f t="shared" si="18"/>
        <v>0</v>
      </c>
      <c r="M54" s="26">
        <f t="shared" si="19"/>
        <v>0</v>
      </c>
      <c r="N54" s="26">
        <f t="shared" si="20"/>
        <v>1</v>
      </c>
      <c r="O54" s="26">
        <f t="shared" si="21"/>
        <v>1</v>
      </c>
    </row>
    <row r="55" spans="1:15">
      <c r="A55" t="s">
        <v>184</v>
      </c>
      <c r="B55" s="29">
        <v>0</v>
      </c>
      <c r="C55" s="29">
        <v>0</v>
      </c>
      <c r="D55" s="29">
        <v>0</v>
      </c>
      <c r="E55" s="29">
        <v>2</v>
      </c>
      <c r="G55" s="29">
        <v>0</v>
      </c>
      <c r="H55" s="29">
        <v>0</v>
      </c>
      <c r="I55" s="26">
        <v>0</v>
      </c>
      <c r="J55" s="29">
        <v>8</v>
      </c>
      <c r="L55" s="29">
        <f t="shared" si="18"/>
        <v>0</v>
      </c>
      <c r="M55" s="29">
        <f t="shared" si="19"/>
        <v>0</v>
      </c>
      <c r="N55" s="29">
        <f t="shared" si="20"/>
        <v>0</v>
      </c>
      <c r="O55" s="29">
        <f t="shared" si="21"/>
        <v>10</v>
      </c>
    </row>
    <row r="56" spans="1:15">
      <c r="B56" s="26">
        <f>SUM(B53:B55)</f>
        <v>0</v>
      </c>
      <c r="C56" s="26">
        <f>SUM(C53:C55)</f>
        <v>0</v>
      </c>
      <c r="D56" s="26">
        <f>SUM(D53:D55)</f>
        <v>3</v>
      </c>
      <c r="E56" s="26">
        <f>SUM(E53:E55)</f>
        <v>6</v>
      </c>
      <c r="G56" s="26">
        <f>SUM(G53:G55)</f>
        <v>0</v>
      </c>
      <c r="H56" s="26">
        <f>SUM(H53:H55)</f>
        <v>0</v>
      </c>
      <c r="I56" s="26">
        <f>SUM(I53:I55)</f>
        <v>4</v>
      </c>
      <c r="J56" s="26">
        <f>SUM(J53:J55)</f>
        <v>16</v>
      </c>
      <c r="L56" s="26">
        <f>SUM(L53:L55)</f>
        <v>0</v>
      </c>
      <c r="M56" s="26">
        <f>SUM(M53:M55)</f>
        <v>0</v>
      </c>
      <c r="N56" s="26">
        <f>SUM(N53:N55)</f>
        <v>7</v>
      </c>
      <c r="O56" s="26">
        <f>SUM(O53:O55)</f>
        <v>22</v>
      </c>
    </row>
    <row r="58" spans="1:15" ht="15">
      <c r="A58" s="5" t="s">
        <v>185</v>
      </c>
    </row>
    <row r="59" spans="1:15">
      <c r="A59" t="s">
        <v>186</v>
      </c>
      <c r="B59" s="26">
        <v>0</v>
      </c>
      <c r="C59" s="26">
        <v>0</v>
      </c>
      <c r="D59" s="26">
        <v>1</v>
      </c>
      <c r="E59" s="26">
        <v>2</v>
      </c>
      <c r="G59" s="26">
        <v>0</v>
      </c>
      <c r="H59" s="26">
        <v>0</v>
      </c>
      <c r="I59" s="26">
        <v>2</v>
      </c>
      <c r="J59" s="26">
        <v>4</v>
      </c>
      <c r="L59" s="26">
        <f t="shared" ref="L59:L61" si="22">+B59+G59</f>
        <v>0</v>
      </c>
      <c r="M59" s="26">
        <f t="shared" ref="M59:M61" si="23">+C59+H59</f>
        <v>0</v>
      </c>
      <c r="N59" s="26">
        <f t="shared" ref="N59:N61" si="24">+D59+I59</f>
        <v>3</v>
      </c>
      <c r="O59" s="26">
        <f t="shared" ref="O59:O61" si="25">+E59+J59</f>
        <v>6</v>
      </c>
    </row>
    <row r="60" spans="1:15">
      <c r="A60" t="s">
        <v>187</v>
      </c>
      <c r="B60" s="26">
        <v>0</v>
      </c>
      <c r="C60" s="26">
        <v>0</v>
      </c>
      <c r="D60" s="26">
        <v>1</v>
      </c>
      <c r="E60" s="26">
        <v>2</v>
      </c>
      <c r="G60" s="26">
        <v>0</v>
      </c>
      <c r="H60" s="26">
        <v>0</v>
      </c>
      <c r="I60" s="26">
        <v>2</v>
      </c>
      <c r="J60" s="26">
        <v>4</v>
      </c>
      <c r="L60" s="26">
        <f t="shared" si="22"/>
        <v>0</v>
      </c>
      <c r="M60" s="26">
        <f t="shared" si="23"/>
        <v>0</v>
      </c>
      <c r="N60" s="26">
        <f t="shared" si="24"/>
        <v>3</v>
      </c>
      <c r="O60" s="26">
        <f t="shared" si="25"/>
        <v>6</v>
      </c>
    </row>
    <row r="61" spans="1:15">
      <c r="A61" t="s">
        <v>188</v>
      </c>
      <c r="B61" s="26">
        <v>0</v>
      </c>
      <c r="C61" s="26">
        <v>0</v>
      </c>
      <c r="D61" s="26">
        <v>1</v>
      </c>
      <c r="E61" s="26">
        <v>2</v>
      </c>
      <c r="G61" s="26">
        <v>0</v>
      </c>
      <c r="H61" s="26">
        <v>0</v>
      </c>
      <c r="I61" s="26">
        <v>2</v>
      </c>
      <c r="J61" s="26">
        <v>4</v>
      </c>
      <c r="L61" s="26">
        <f t="shared" si="22"/>
        <v>0</v>
      </c>
      <c r="M61" s="26">
        <f t="shared" si="23"/>
        <v>0</v>
      </c>
      <c r="N61" s="26">
        <f t="shared" si="24"/>
        <v>3</v>
      </c>
      <c r="O61" s="26">
        <f t="shared" si="25"/>
        <v>6</v>
      </c>
    </row>
    <row r="62" spans="1:15">
      <c r="A62" t="s">
        <v>33</v>
      </c>
      <c r="B62" s="29">
        <v>0</v>
      </c>
      <c r="C62" s="29">
        <v>0</v>
      </c>
      <c r="D62" s="29">
        <v>1</v>
      </c>
      <c r="E62" s="29">
        <v>1</v>
      </c>
      <c r="G62" s="29">
        <v>0</v>
      </c>
      <c r="H62" s="29">
        <v>0</v>
      </c>
      <c r="I62" s="29">
        <v>3</v>
      </c>
      <c r="J62" s="29">
        <v>3</v>
      </c>
      <c r="L62" s="29">
        <f t="shared" ref="L62:L63" si="26">+B62+G62</f>
        <v>0</v>
      </c>
      <c r="M62" s="29">
        <f t="shared" ref="M62:M63" si="27">+C62+H62</f>
        <v>0</v>
      </c>
      <c r="N62" s="29">
        <f t="shared" ref="N62:N63" si="28">+D62+I62</f>
        <v>4</v>
      </c>
      <c r="O62" s="29">
        <f t="shared" ref="O62:O63" si="29">+E62+J62</f>
        <v>4</v>
      </c>
    </row>
    <row r="63" spans="1:15">
      <c r="B63" s="26">
        <f>SUM(B59:B62)</f>
        <v>0</v>
      </c>
      <c r="C63" s="26">
        <f>SUM(C59:C62)</f>
        <v>0</v>
      </c>
      <c r="D63" s="26">
        <f>SUM(D59:D62)</f>
        <v>4</v>
      </c>
      <c r="E63" s="26">
        <f>SUM(E59:E62)</f>
        <v>7</v>
      </c>
      <c r="G63" s="26">
        <f>SUM(G59:G62)</f>
        <v>0</v>
      </c>
      <c r="H63" s="26">
        <f>SUM(H59:H62)</f>
        <v>0</v>
      </c>
      <c r="I63" s="26">
        <f>SUM(I59:I62)</f>
        <v>9</v>
      </c>
      <c r="J63" s="26">
        <f>SUM(J59:J62)</f>
        <v>15</v>
      </c>
      <c r="L63" s="26">
        <f t="shared" si="26"/>
        <v>0</v>
      </c>
      <c r="M63" s="26">
        <f t="shared" si="27"/>
        <v>0</v>
      </c>
      <c r="N63" s="26">
        <f t="shared" si="28"/>
        <v>13</v>
      </c>
      <c r="O63" s="26">
        <f t="shared" si="29"/>
        <v>22</v>
      </c>
    </row>
    <row r="65" spans="1:15" ht="15">
      <c r="A65" s="5" t="s">
        <v>217</v>
      </c>
    </row>
    <row r="66" spans="1:15">
      <c r="A66" t="s">
        <v>218</v>
      </c>
      <c r="B66" s="26">
        <v>0</v>
      </c>
      <c r="C66" s="26">
        <v>0</v>
      </c>
      <c r="D66" s="26">
        <v>0</v>
      </c>
      <c r="E66" s="26">
        <v>20</v>
      </c>
      <c r="G66" s="26">
        <v>0</v>
      </c>
      <c r="H66" s="26">
        <v>0</v>
      </c>
      <c r="I66" s="26">
        <v>0</v>
      </c>
      <c r="J66" s="26">
        <v>0</v>
      </c>
      <c r="L66" s="26">
        <f t="shared" ref="L66:L68" si="30">+B66+G66</f>
        <v>0</v>
      </c>
      <c r="M66" s="26">
        <f t="shared" ref="M66:M68" si="31">+C66+H66</f>
        <v>0</v>
      </c>
      <c r="N66" s="26">
        <f t="shared" ref="N66:N68" si="32">+D66+I66</f>
        <v>0</v>
      </c>
      <c r="O66" s="26">
        <f t="shared" ref="O66:O68" si="33">+E66+J66</f>
        <v>20</v>
      </c>
    </row>
    <row r="67" spans="1:15">
      <c r="A67" t="s">
        <v>42</v>
      </c>
      <c r="B67" s="26">
        <v>0</v>
      </c>
      <c r="C67" s="29">
        <v>0</v>
      </c>
      <c r="D67" s="29">
        <v>0</v>
      </c>
      <c r="E67" s="29">
        <v>15</v>
      </c>
      <c r="G67" s="29">
        <v>0</v>
      </c>
      <c r="H67" s="29">
        <v>0</v>
      </c>
      <c r="I67" s="29">
        <v>0</v>
      </c>
      <c r="J67" s="29">
        <v>0</v>
      </c>
      <c r="L67" s="29">
        <f t="shared" si="30"/>
        <v>0</v>
      </c>
      <c r="M67" s="29">
        <f t="shared" si="31"/>
        <v>0</v>
      </c>
      <c r="N67" s="29">
        <f t="shared" si="32"/>
        <v>0</v>
      </c>
      <c r="O67" s="29">
        <f t="shared" si="33"/>
        <v>15</v>
      </c>
    </row>
    <row r="68" spans="1:15">
      <c r="B68" s="26">
        <f>SUM(B66:B67)</f>
        <v>0</v>
      </c>
      <c r="C68" s="26">
        <f>SUM(C66:C67)</f>
        <v>0</v>
      </c>
      <c r="D68" s="26">
        <f>SUM(D66:D67)</f>
        <v>0</v>
      </c>
      <c r="E68" s="32">
        <f>SUM(E66:E67)</f>
        <v>35</v>
      </c>
      <c r="G68" s="26">
        <f>SUM(G66:G67)</f>
        <v>0</v>
      </c>
      <c r="H68" s="26">
        <f>SUM(H66:H67)</f>
        <v>0</v>
      </c>
      <c r="I68" s="26">
        <f>SUM(I66:I67)</f>
        <v>0</v>
      </c>
      <c r="J68" s="26">
        <f>SUM(J66:J67)</f>
        <v>0</v>
      </c>
      <c r="L68" s="26">
        <f t="shared" si="30"/>
        <v>0</v>
      </c>
      <c r="M68" s="26">
        <f t="shared" si="31"/>
        <v>0</v>
      </c>
      <c r="N68" s="26">
        <f t="shared" si="32"/>
        <v>0</v>
      </c>
      <c r="O68" s="26">
        <f t="shared" si="33"/>
        <v>35</v>
      </c>
    </row>
    <row r="70" spans="1:15" ht="15">
      <c r="A70" s="5" t="s">
        <v>14</v>
      </c>
    </row>
    <row r="71" spans="1:15">
      <c r="A71" t="s">
        <v>172</v>
      </c>
      <c r="B71" s="26">
        <f>+B16</f>
        <v>2</v>
      </c>
      <c r="C71" s="26">
        <f>+C16</f>
        <v>6</v>
      </c>
      <c r="D71" s="26">
        <f>+D16</f>
        <v>9</v>
      </c>
      <c r="E71" s="26">
        <f>+E16</f>
        <v>12</v>
      </c>
      <c r="G71" s="26">
        <f>+G16</f>
        <v>0</v>
      </c>
      <c r="H71" s="26">
        <f>+H16</f>
        <v>9</v>
      </c>
      <c r="I71" s="26">
        <f>+I16</f>
        <v>13</v>
      </c>
      <c r="J71" s="26">
        <f>+J16</f>
        <v>18</v>
      </c>
      <c r="L71" s="26">
        <f>+L16</f>
        <v>2</v>
      </c>
      <c r="M71" s="26">
        <f>+M16</f>
        <v>15</v>
      </c>
      <c r="N71" s="26">
        <f>+N16</f>
        <v>22</v>
      </c>
      <c r="O71" s="26">
        <f>+O16</f>
        <v>30</v>
      </c>
    </row>
    <row r="72" spans="1:15">
      <c r="A72" t="s">
        <v>8</v>
      </c>
      <c r="B72" s="26">
        <f>+B22</f>
        <v>2</v>
      </c>
      <c r="C72" s="26">
        <f>+C22</f>
        <v>4</v>
      </c>
      <c r="D72" s="26">
        <f>+D22</f>
        <v>9</v>
      </c>
      <c r="E72" s="26">
        <f>+E22</f>
        <v>9</v>
      </c>
      <c r="G72" s="26">
        <f>+G22</f>
        <v>0</v>
      </c>
      <c r="H72" s="26">
        <f>+H22</f>
        <v>2</v>
      </c>
      <c r="I72" s="26">
        <f>+I22</f>
        <v>3</v>
      </c>
      <c r="J72" s="26">
        <f>+J22</f>
        <v>4</v>
      </c>
      <c r="L72" s="26">
        <f>+L22</f>
        <v>2</v>
      </c>
      <c r="M72" s="26">
        <f>+M22</f>
        <v>6</v>
      </c>
      <c r="N72" s="26">
        <f>+N22</f>
        <v>12</v>
      </c>
      <c r="O72" s="26">
        <f>+O22</f>
        <v>13</v>
      </c>
    </row>
    <row r="73" spans="1:15">
      <c r="A73" t="s">
        <v>26</v>
      </c>
      <c r="B73" s="26">
        <f>+B36</f>
        <v>28</v>
      </c>
      <c r="C73" s="26">
        <f>+C36</f>
        <v>38</v>
      </c>
      <c r="D73" s="26">
        <f>+D36</f>
        <v>51</v>
      </c>
      <c r="E73" s="26">
        <f>+E36</f>
        <v>59</v>
      </c>
      <c r="G73" s="26">
        <f>+G36</f>
        <v>12</v>
      </c>
      <c r="H73" s="26">
        <f>+H36</f>
        <v>30</v>
      </c>
      <c r="I73" s="26">
        <f>+I36</f>
        <v>46</v>
      </c>
      <c r="J73" s="26">
        <f>+J36</f>
        <v>63</v>
      </c>
      <c r="L73" s="26">
        <f>+L36</f>
        <v>40</v>
      </c>
      <c r="M73" s="26">
        <f>+M36</f>
        <v>68</v>
      </c>
      <c r="N73" s="26">
        <f>+N36</f>
        <v>97</v>
      </c>
      <c r="O73" s="26">
        <f>+O36</f>
        <v>122</v>
      </c>
    </row>
    <row r="74" spans="1:15">
      <c r="A74" t="s">
        <v>177</v>
      </c>
      <c r="B74" s="26">
        <f>+B50</f>
        <v>0</v>
      </c>
      <c r="C74" s="26">
        <f>+C50</f>
        <v>25</v>
      </c>
      <c r="D74" s="26">
        <f>+D50</f>
        <v>34</v>
      </c>
      <c r="E74" s="26">
        <f>+E50</f>
        <v>44</v>
      </c>
      <c r="G74" s="26">
        <f>+G50</f>
        <v>0</v>
      </c>
      <c r="H74" s="26">
        <f>+H50</f>
        <v>19</v>
      </c>
      <c r="I74" s="26">
        <f>+I50</f>
        <v>27</v>
      </c>
      <c r="J74" s="26">
        <f>+J50</f>
        <v>35</v>
      </c>
      <c r="L74" s="26">
        <f>+L50</f>
        <v>0</v>
      </c>
      <c r="M74" s="26">
        <f>+M50</f>
        <v>44</v>
      </c>
      <c r="N74" s="26">
        <f>+N50</f>
        <v>61</v>
      </c>
      <c r="O74" s="26">
        <f>+O50</f>
        <v>79</v>
      </c>
    </row>
    <row r="75" spans="1:15">
      <c r="A75" t="s">
        <v>178</v>
      </c>
      <c r="B75" s="26">
        <v>0</v>
      </c>
      <c r="C75" s="26">
        <v>0</v>
      </c>
      <c r="D75" s="26">
        <v>0</v>
      </c>
      <c r="E75" s="26">
        <v>0</v>
      </c>
      <c r="G75" s="26">
        <v>0</v>
      </c>
      <c r="H75" s="26">
        <v>0</v>
      </c>
      <c r="I75" s="26">
        <v>0</v>
      </c>
      <c r="J75" s="26">
        <v>0</v>
      </c>
      <c r="L75" s="26">
        <v>0</v>
      </c>
      <c r="M75" s="26">
        <v>0</v>
      </c>
      <c r="N75" s="26">
        <v>0</v>
      </c>
      <c r="O75" s="26">
        <v>0</v>
      </c>
    </row>
    <row r="76" spans="1:15">
      <c r="A76" t="s">
        <v>220</v>
      </c>
      <c r="B76" s="26">
        <f>+B56</f>
        <v>0</v>
      </c>
      <c r="C76" s="26">
        <f>+C56</f>
        <v>0</v>
      </c>
      <c r="D76" s="26">
        <f>+D56</f>
        <v>3</v>
      </c>
      <c r="E76" s="26">
        <f>+E56</f>
        <v>6</v>
      </c>
      <c r="G76" s="26">
        <f>+G56</f>
        <v>0</v>
      </c>
      <c r="H76" s="26">
        <f>+H56</f>
        <v>0</v>
      </c>
      <c r="I76" s="26">
        <f>+I56</f>
        <v>4</v>
      </c>
      <c r="J76" s="26">
        <f>+J56</f>
        <v>16</v>
      </c>
      <c r="L76" s="26">
        <f>+L56</f>
        <v>0</v>
      </c>
      <c r="M76" s="26">
        <f>+M56</f>
        <v>0</v>
      </c>
      <c r="N76" s="26">
        <f>+N56</f>
        <v>7</v>
      </c>
      <c r="O76" s="26">
        <f>+O56</f>
        <v>22</v>
      </c>
    </row>
    <row r="77" spans="1:15">
      <c r="A77" t="s">
        <v>185</v>
      </c>
      <c r="B77" s="26">
        <f>+B63</f>
        <v>0</v>
      </c>
      <c r="C77" s="26">
        <f>+C63</f>
        <v>0</v>
      </c>
      <c r="D77" s="26">
        <f>+D63</f>
        <v>4</v>
      </c>
      <c r="E77" s="26">
        <f>+E63</f>
        <v>7</v>
      </c>
      <c r="G77" s="26">
        <f>+G63</f>
        <v>0</v>
      </c>
      <c r="H77" s="26">
        <f>+H63</f>
        <v>0</v>
      </c>
      <c r="I77" s="26">
        <f>+I63</f>
        <v>9</v>
      </c>
      <c r="J77" s="26">
        <f>+J63</f>
        <v>15</v>
      </c>
      <c r="L77" s="26">
        <f>+L63</f>
        <v>0</v>
      </c>
      <c r="M77" s="26">
        <f>+M63</f>
        <v>0</v>
      </c>
      <c r="N77" s="26">
        <f>+N63</f>
        <v>13</v>
      </c>
      <c r="O77" s="26">
        <f>+O63</f>
        <v>22</v>
      </c>
    </row>
    <row r="78" spans="1:15">
      <c r="A78" t="s">
        <v>38</v>
      </c>
      <c r="B78" s="29">
        <f>+B68</f>
        <v>0</v>
      </c>
      <c r="C78" s="29">
        <f>+C68</f>
        <v>0</v>
      </c>
      <c r="D78" s="29">
        <f>+D68</f>
        <v>0</v>
      </c>
      <c r="E78" s="29">
        <f>+E68</f>
        <v>35</v>
      </c>
      <c r="F78" s="21"/>
      <c r="G78" s="29">
        <f>+G68</f>
        <v>0</v>
      </c>
      <c r="H78" s="29">
        <f>+H68</f>
        <v>0</v>
      </c>
      <c r="I78" s="29">
        <f>+I68</f>
        <v>0</v>
      </c>
      <c r="J78" s="29">
        <f>+J68</f>
        <v>0</v>
      </c>
      <c r="L78" s="29">
        <f>+L68</f>
        <v>0</v>
      </c>
      <c r="M78" s="29">
        <f>+M68</f>
        <v>0</v>
      </c>
      <c r="N78" s="29">
        <f>+N68</f>
        <v>0</v>
      </c>
      <c r="O78" s="29">
        <f>+O68</f>
        <v>35</v>
      </c>
    </row>
    <row r="79" spans="1:15">
      <c r="A79" t="s">
        <v>189</v>
      </c>
      <c r="B79" s="26">
        <f>SUM(B71:B78)</f>
        <v>32</v>
      </c>
      <c r="C79" s="26">
        <f>SUM(C71:C78)</f>
        <v>73</v>
      </c>
      <c r="D79" s="26">
        <f>SUM(D71:D78)</f>
        <v>110</v>
      </c>
      <c r="E79" s="26">
        <f>SUM(E71:E78)</f>
        <v>172</v>
      </c>
      <c r="G79" s="26">
        <f>SUM(G71:G78)</f>
        <v>12</v>
      </c>
      <c r="H79" s="26">
        <f>SUM(H71:H78)</f>
        <v>60</v>
      </c>
      <c r="I79" s="26">
        <f>SUM(I71:I78)</f>
        <v>102</v>
      </c>
      <c r="J79" s="26">
        <f>SUM(J71:J78)</f>
        <v>151</v>
      </c>
      <c r="L79" s="26">
        <f>SUM(L71:L78)</f>
        <v>44</v>
      </c>
      <c r="M79" s="26">
        <f>SUM(M71:M78)</f>
        <v>133</v>
      </c>
      <c r="N79" s="26">
        <f>SUM(N71:N78)</f>
        <v>212</v>
      </c>
      <c r="O79" s="26">
        <f>SUM(O71:O78)</f>
        <v>323</v>
      </c>
    </row>
    <row r="81" spans="1:15">
      <c r="A81" t="s">
        <v>221</v>
      </c>
    </row>
    <row r="82" spans="1:15">
      <c r="A82" t="s">
        <v>222</v>
      </c>
    </row>
    <row r="83" spans="1:15">
      <c r="A83" t="s">
        <v>223</v>
      </c>
      <c r="B83" s="26">
        <v>2.1</v>
      </c>
    </row>
    <row r="84" spans="1:15">
      <c r="A84" t="s">
        <v>224</v>
      </c>
    </row>
    <row r="85" spans="1:15">
      <c r="A85" t="s">
        <v>225</v>
      </c>
      <c r="B85" s="26">
        <v>1.5</v>
      </c>
    </row>
    <row r="86" spans="1:15">
      <c r="A86" t="s">
        <v>226</v>
      </c>
      <c r="B86" s="26">
        <v>1.8</v>
      </c>
      <c r="C86" s="26">
        <v>1.8</v>
      </c>
      <c r="D86" s="26">
        <v>1.8</v>
      </c>
      <c r="E86" s="26">
        <v>1.8</v>
      </c>
      <c r="G86" s="26">
        <v>2.2000000000000002</v>
      </c>
      <c r="H86" s="26">
        <v>2.2000000000000002</v>
      </c>
      <c r="I86" s="26">
        <v>2.2000000000000002</v>
      </c>
      <c r="J86" s="26">
        <v>2.2000000000000002</v>
      </c>
    </row>
    <row r="87" spans="1:15">
      <c r="A87" t="s">
        <v>227</v>
      </c>
      <c r="B87" s="28">
        <f>+B79*B86</f>
        <v>57.6</v>
      </c>
      <c r="C87" s="28">
        <f>+C79*C86</f>
        <v>131.4</v>
      </c>
      <c r="D87" s="28">
        <f>+D79*D86</f>
        <v>198</v>
      </c>
      <c r="E87" s="28">
        <f>+E79*E86</f>
        <v>309.60000000000002</v>
      </c>
      <c r="F87" s="2"/>
      <c r="G87" s="28">
        <f>+G79+G86</f>
        <v>14.2</v>
      </c>
      <c r="H87" s="28">
        <f>+H79+H86</f>
        <v>62.2</v>
      </c>
      <c r="I87" s="28">
        <f>+I79+I86</f>
        <v>104.2</v>
      </c>
      <c r="J87" s="28">
        <f>+J79+J86</f>
        <v>153.19999999999999</v>
      </c>
      <c r="L87" s="26">
        <f t="shared" ref="L87" si="34">+B87+G87</f>
        <v>71.8</v>
      </c>
      <c r="M87" s="26">
        <f t="shared" ref="M87" si="35">+C87+H87</f>
        <v>193.60000000000002</v>
      </c>
      <c r="N87" s="26">
        <f t="shared" ref="N87" si="36">+D87+I87</f>
        <v>302.2</v>
      </c>
      <c r="O87" s="26">
        <f t="shared" ref="O87" si="37">+E87+J87</f>
        <v>462.8</v>
      </c>
    </row>
    <row r="90" spans="1:15">
      <c r="A90" t="s">
        <v>228</v>
      </c>
      <c r="B90" s="3">
        <v>25000</v>
      </c>
      <c r="C90" s="3">
        <f>+B90</f>
        <v>25000</v>
      </c>
      <c r="D90" s="3">
        <f>+B90</f>
        <v>25000</v>
      </c>
      <c r="E90" s="3">
        <f>+B90</f>
        <v>25000</v>
      </c>
      <c r="F90" s="3"/>
      <c r="G90" s="3">
        <v>5500</v>
      </c>
      <c r="H90" s="3">
        <v>5500</v>
      </c>
      <c r="I90" s="3">
        <v>5500</v>
      </c>
      <c r="J90" s="3">
        <v>5500</v>
      </c>
    </row>
    <row r="91" spans="1:15">
      <c r="A91" t="s">
        <v>135</v>
      </c>
      <c r="B91" s="3">
        <f>+B87*B90</f>
        <v>1440000</v>
      </c>
      <c r="C91" s="3">
        <f>+C87*C90</f>
        <v>3285000</v>
      </c>
      <c r="D91" s="3">
        <f>+D87*D90</f>
        <v>4950000</v>
      </c>
      <c r="E91" s="3">
        <f>+E87*E90</f>
        <v>7740000.0000000009</v>
      </c>
      <c r="F91" s="3"/>
      <c r="G91" s="3">
        <f>+G87*G90</f>
        <v>78100</v>
      </c>
      <c r="H91" s="3">
        <f>+H87*H90</f>
        <v>342100</v>
      </c>
      <c r="I91" s="3">
        <f>+I87*I90</f>
        <v>573100</v>
      </c>
      <c r="J91" s="3">
        <f>+J87*J90</f>
        <v>842599.99999999988</v>
      </c>
    </row>
    <row r="92" spans="1:15">
      <c r="A92" s="1" t="s">
        <v>242</v>
      </c>
      <c r="B92" s="3">
        <f>+B91*0.3</f>
        <v>432000</v>
      </c>
      <c r="C92" s="3">
        <f>+C91*0.3</f>
        <v>985500</v>
      </c>
      <c r="D92" s="3">
        <f>+D91*0.3</f>
        <v>1485000</v>
      </c>
      <c r="E92" s="3">
        <f>+E91*0.3</f>
        <v>2322000</v>
      </c>
      <c r="F92" s="3"/>
      <c r="G92" s="3">
        <f>+G91*0.3</f>
        <v>23430</v>
      </c>
      <c r="H92" s="3">
        <f>+H91*0.3</f>
        <v>102630</v>
      </c>
      <c r="I92" s="3">
        <f>+I91*0.3</f>
        <v>171930</v>
      </c>
      <c r="J92" s="3">
        <f>+J91*0.3</f>
        <v>252779.99999999994</v>
      </c>
    </row>
    <row r="93" spans="1:15">
      <c r="A93" t="s">
        <v>135</v>
      </c>
      <c r="B93" s="3">
        <f>+B91+B92</f>
        <v>1872000</v>
      </c>
      <c r="C93" s="3">
        <f>+C91+C92</f>
        <v>4270500</v>
      </c>
      <c r="D93" s="3">
        <f>+D91+D92</f>
        <v>6435000</v>
      </c>
      <c r="E93" s="3">
        <f>+E91+E92</f>
        <v>10062000</v>
      </c>
      <c r="F93" s="3"/>
      <c r="G93" s="3">
        <f>+G91+G92</f>
        <v>101530</v>
      </c>
      <c r="H93" s="3">
        <f>+H91+H92</f>
        <v>444730</v>
      </c>
      <c r="I93" s="3">
        <f>+I91+I92</f>
        <v>745030</v>
      </c>
      <c r="J93" s="3">
        <f>+J91+J92</f>
        <v>1095379.9999999998</v>
      </c>
    </row>
    <row r="94" spans="1:15">
      <c r="B94" s="3"/>
      <c r="C94" s="3"/>
      <c r="D94" s="3"/>
      <c r="E94" s="3"/>
      <c r="F94" s="3"/>
      <c r="G94" s="3"/>
      <c r="H94" s="3"/>
      <c r="I94" s="3"/>
      <c r="J94" s="3"/>
    </row>
    <row r="95" spans="1:15">
      <c r="B95" s="3"/>
      <c r="C95" s="3"/>
      <c r="D95" s="3"/>
      <c r="E95" s="3"/>
      <c r="F95" s="3"/>
      <c r="G95" s="3"/>
      <c r="H95" s="3"/>
      <c r="I95" s="3"/>
      <c r="J95" s="3"/>
    </row>
    <row r="96" spans="1:15">
      <c r="B96" s="3"/>
      <c r="C96" s="3"/>
      <c r="D96" s="3"/>
      <c r="E96" s="3"/>
      <c r="F96" s="3"/>
      <c r="G96" s="3"/>
      <c r="H96" s="3"/>
      <c r="I96" s="3"/>
      <c r="J96" s="3"/>
    </row>
    <row r="97" spans="2:10">
      <c r="B97" s="3"/>
      <c r="C97" s="3"/>
      <c r="D97" s="3"/>
      <c r="E97" s="3"/>
      <c r="F97" s="3"/>
      <c r="G97" s="3"/>
      <c r="H97" s="3"/>
      <c r="I97" s="3"/>
      <c r="J97" s="3"/>
    </row>
  </sheetData>
  <mergeCells count="5">
    <mergeCell ref="A1:O1"/>
    <mergeCell ref="A2:O2"/>
    <mergeCell ref="L6:O6"/>
    <mergeCell ref="B6:E6"/>
    <mergeCell ref="G6:J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123"/>
  <sheetViews>
    <sheetView topLeftCell="A101" workbookViewId="0">
      <selection activeCell="B106" sqref="B106"/>
    </sheetView>
  </sheetViews>
  <sheetFormatPr defaultRowHeight="14.25"/>
  <cols>
    <col min="2" max="2" width="26.625" customWidth="1"/>
    <col min="3" max="3" width="14.375" customWidth="1"/>
    <col min="4" max="4" width="11.875" customWidth="1"/>
    <col min="5" max="5" width="15.625" customWidth="1"/>
  </cols>
  <sheetData>
    <row r="1" spans="2:5" ht="18">
      <c r="B1" s="34" t="s">
        <v>245</v>
      </c>
      <c r="C1" s="34"/>
      <c r="D1" s="34"/>
      <c r="E1" s="34"/>
    </row>
    <row r="4" spans="2:5">
      <c r="B4" t="s">
        <v>250</v>
      </c>
      <c r="C4" s="2">
        <v>3000</v>
      </c>
    </row>
    <row r="5" spans="2:5">
      <c r="D5" s="2"/>
    </row>
    <row r="6" spans="2:5" ht="15.75">
      <c r="B6" s="36" t="s">
        <v>26</v>
      </c>
      <c r="C6" s="36"/>
      <c r="D6" s="36"/>
      <c r="E6" s="36"/>
    </row>
    <row r="7" spans="2:5">
      <c r="D7" s="2"/>
    </row>
    <row r="8" spans="2:5" ht="15">
      <c r="B8" s="5" t="s">
        <v>133</v>
      </c>
      <c r="C8" s="2"/>
      <c r="D8" s="14" t="s">
        <v>134</v>
      </c>
      <c r="E8" s="14" t="s">
        <v>135</v>
      </c>
    </row>
    <row r="9" spans="2:5">
      <c r="B9" t="s">
        <v>136</v>
      </c>
      <c r="C9" s="15">
        <v>20</v>
      </c>
      <c r="D9" s="2">
        <v>120000</v>
      </c>
      <c r="E9" s="6">
        <f>+C9*D9</f>
        <v>2400000</v>
      </c>
    </row>
    <row r="10" spans="2:5">
      <c r="B10" t="s">
        <v>137</v>
      </c>
      <c r="C10" s="16">
        <v>20</v>
      </c>
      <c r="D10" s="2">
        <f>+D9</f>
        <v>120000</v>
      </c>
      <c r="E10" s="6">
        <f>+C10*D10</f>
        <v>2400000</v>
      </c>
    </row>
    <row r="11" spans="2:5">
      <c r="B11" t="s">
        <v>244</v>
      </c>
      <c r="C11" s="17">
        <v>0.4</v>
      </c>
      <c r="D11" s="2">
        <f>+D9</f>
        <v>120000</v>
      </c>
      <c r="E11" s="4">
        <f>-E10*C11</f>
        <v>-960000</v>
      </c>
    </row>
    <row r="12" spans="2:5" ht="15">
      <c r="B12" s="5" t="s">
        <v>13</v>
      </c>
      <c r="C12" s="18"/>
      <c r="D12" s="7" t="s">
        <v>16</v>
      </c>
      <c r="E12" s="19">
        <f>SUM(E9:E11)</f>
        <v>3840000</v>
      </c>
    </row>
    <row r="13" spans="2:5">
      <c r="C13" s="2"/>
      <c r="D13" s="2"/>
    </row>
    <row r="14" spans="2:5" ht="15">
      <c r="B14" s="5" t="s">
        <v>140</v>
      </c>
      <c r="C14" s="3" t="s">
        <v>251</v>
      </c>
    </row>
    <row r="15" spans="2:5">
      <c r="B15" t="s">
        <v>154</v>
      </c>
      <c r="C15" s="2">
        <v>8</v>
      </c>
      <c r="E15" s="2">
        <f>-phase1execpay</f>
        <v>-481000</v>
      </c>
    </row>
    <row r="16" spans="2:5">
      <c r="B16" s="11" t="s">
        <v>246</v>
      </c>
      <c r="C16" s="2">
        <f>+phase1supportstaff</f>
        <v>4</v>
      </c>
      <c r="E16" s="2">
        <f>-phase1supportstaffpay</f>
        <v>-130000</v>
      </c>
    </row>
    <row r="17" spans="2:5">
      <c r="B17" s="11" t="s">
        <v>141</v>
      </c>
      <c r="C17" s="2">
        <f>+phase1employeeqty</f>
        <v>57.6</v>
      </c>
      <c r="E17" s="2">
        <f>-phase1employeepay</f>
        <v>-1872000</v>
      </c>
    </row>
    <row r="18" spans="2:5">
      <c r="B18" t="s">
        <v>149</v>
      </c>
      <c r="C18" s="6">
        <f>+phase1housing</f>
        <v>14.2</v>
      </c>
      <c r="E18" s="2">
        <f>-phase1seasonal</f>
        <v>-101530</v>
      </c>
    </row>
    <row r="19" spans="2:5">
      <c r="B19" t="s">
        <v>142</v>
      </c>
      <c r="D19" t="s">
        <v>16</v>
      </c>
      <c r="E19" s="2">
        <f>-C18*seasonalhousingcost</f>
        <v>-42600</v>
      </c>
    </row>
    <row r="20" spans="2:5">
      <c r="B20" t="s">
        <v>143</v>
      </c>
      <c r="C20" s="2"/>
      <c r="E20" s="2">
        <v>-30000</v>
      </c>
    </row>
    <row r="21" spans="2:5">
      <c r="B21" t="s">
        <v>144</v>
      </c>
      <c r="C21" s="2"/>
      <c r="E21" s="2">
        <v>-40000</v>
      </c>
    </row>
    <row r="22" spans="2:5">
      <c r="B22" t="s">
        <v>145</v>
      </c>
      <c r="C22" s="2"/>
      <c r="E22" s="4">
        <f>-4500000*0.11</f>
        <v>-495000</v>
      </c>
    </row>
    <row r="23" spans="2:5" ht="15">
      <c r="B23" s="5" t="s">
        <v>13</v>
      </c>
      <c r="C23" s="2">
        <f>SUM(C15:C18)</f>
        <v>83.8</v>
      </c>
      <c r="E23" s="7">
        <f>SUM(E15:E22)</f>
        <v>-3192130</v>
      </c>
    </row>
    <row r="24" spans="2:5">
      <c r="C24" s="2"/>
      <c r="D24" s="2"/>
    </row>
    <row r="25" spans="2:5" ht="15">
      <c r="B25" s="5" t="s">
        <v>146</v>
      </c>
      <c r="D25" s="2"/>
      <c r="E25" s="7">
        <f>+E12+E23</f>
        <v>647870</v>
      </c>
    </row>
    <row r="26" spans="2:5">
      <c r="D26" s="2"/>
      <c r="E26" s="2"/>
    </row>
    <row r="27" spans="2:5" ht="15.75">
      <c r="B27" s="36" t="s">
        <v>27</v>
      </c>
      <c r="C27" s="36"/>
      <c r="D27" s="36"/>
      <c r="E27" s="36"/>
    </row>
    <row r="28" spans="2:5">
      <c r="D28" s="2"/>
    </row>
    <row r="29" spans="2:5" ht="15">
      <c r="B29" s="5" t="s">
        <v>133</v>
      </c>
      <c r="C29" s="2"/>
      <c r="D29" s="14" t="s">
        <v>134</v>
      </c>
      <c r="E29" s="14" t="s">
        <v>135</v>
      </c>
    </row>
    <row r="30" spans="2:5">
      <c r="B30" t="s">
        <v>136</v>
      </c>
      <c r="C30" s="15">
        <v>28</v>
      </c>
      <c r="D30" s="2">
        <v>300000</v>
      </c>
      <c r="E30" s="6">
        <f>+C30*D30</f>
        <v>8400000</v>
      </c>
    </row>
    <row r="31" spans="2:5">
      <c r="B31" t="s">
        <v>137</v>
      </c>
      <c r="C31" s="16">
        <v>25</v>
      </c>
      <c r="D31" s="2">
        <f>+D30</f>
        <v>300000</v>
      </c>
      <c r="E31" s="6">
        <f>+C31*D31</f>
        <v>7500000</v>
      </c>
    </row>
    <row r="32" spans="2:5">
      <c r="B32" t="s">
        <v>244</v>
      </c>
      <c r="C32" s="17">
        <v>0.4</v>
      </c>
      <c r="D32" s="2">
        <f>+D30</f>
        <v>300000</v>
      </c>
      <c r="E32" s="4">
        <f>-E31*C32</f>
        <v>-3000000</v>
      </c>
    </row>
    <row r="33" spans="2:5" ht="15">
      <c r="B33" s="5" t="s">
        <v>13</v>
      </c>
      <c r="C33" s="18"/>
      <c r="D33" s="7" t="s">
        <v>16</v>
      </c>
      <c r="E33" s="19">
        <f>SUM(E30:E32)</f>
        <v>12900000</v>
      </c>
    </row>
    <row r="34" spans="2:5">
      <c r="C34" s="2"/>
      <c r="D34" s="2"/>
    </row>
    <row r="35" spans="2:5" ht="15">
      <c r="B35" s="5" t="s">
        <v>140</v>
      </c>
      <c r="C35" s="3" t="s">
        <v>251</v>
      </c>
      <c r="D35" s="2"/>
    </row>
    <row r="36" spans="2:5">
      <c r="B36" t="s">
        <v>154</v>
      </c>
      <c r="C36">
        <v>11</v>
      </c>
      <c r="D36" s="2"/>
      <c r="E36" s="2">
        <f>-phase2execpay</f>
        <v>-799500</v>
      </c>
    </row>
    <row r="37" spans="2:5">
      <c r="B37" s="11" t="s">
        <v>246</v>
      </c>
      <c r="C37" s="2">
        <f>+phase2supportstaff</f>
        <v>8</v>
      </c>
      <c r="D37" s="2"/>
      <c r="E37" s="2">
        <f>-phase2supportstaffpay</f>
        <v>-260000</v>
      </c>
    </row>
    <row r="38" spans="2:5">
      <c r="B38" t="s">
        <v>141</v>
      </c>
      <c r="C38" s="2">
        <f>+phase2employeeqty</f>
        <v>131.4</v>
      </c>
      <c r="D38" s="2"/>
      <c r="E38" s="2">
        <f>-phase2employeepay</f>
        <v>-4270500</v>
      </c>
    </row>
    <row r="39" spans="2:5">
      <c r="B39" t="s">
        <v>149</v>
      </c>
      <c r="C39" s="6">
        <f>+phase2housing</f>
        <v>62.2</v>
      </c>
      <c r="D39" s="2"/>
      <c r="E39" s="2">
        <f>-phase2seasonal</f>
        <v>-444730</v>
      </c>
    </row>
    <row r="40" spans="2:5">
      <c r="B40" t="s">
        <v>142</v>
      </c>
      <c r="D40" t="s">
        <v>16</v>
      </c>
      <c r="E40" s="2">
        <f>-C39*seasonalhousingcost</f>
        <v>-186600</v>
      </c>
    </row>
    <row r="41" spans="2:5">
      <c r="B41" t="s">
        <v>143</v>
      </c>
      <c r="D41" s="2"/>
      <c r="E41" s="2">
        <v>-50000</v>
      </c>
    </row>
    <row r="42" spans="2:5">
      <c r="B42" t="s">
        <v>144</v>
      </c>
      <c r="D42" s="2"/>
      <c r="E42" s="2">
        <v>-100000</v>
      </c>
    </row>
    <row r="43" spans="2:5">
      <c r="B43" t="s">
        <v>150</v>
      </c>
      <c r="D43" s="2"/>
      <c r="E43" s="4">
        <f>-5500000*0.11</f>
        <v>-605000</v>
      </c>
    </row>
    <row r="44" spans="2:5" ht="15">
      <c r="B44" s="5" t="s">
        <v>13</v>
      </c>
      <c r="C44" s="24">
        <f>SUM(C36:C39)</f>
        <v>212.60000000000002</v>
      </c>
      <c r="D44" s="7"/>
      <c r="E44" s="7">
        <f>SUM(E36:E43)</f>
        <v>-6716330</v>
      </c>
    </row>
    <row r="45" spans="2:5">
      <c r="C45" s="2"/>
      <c r="D45" s="2"/>
    </row>
    <row r="46" spans="2:5" ht="15">
      <c r="B46" s="5" t="s">
        <v>146</v>
      </c>
      <c r="D46" s="2"/>
      <c r="E46" s="7">
        <f>+E33+E44</f>
        <v>6183670</v>
      </c>
    </row>
    <row r="47" spans="2:5">
      <c r="D47" s="2"/>
    </row>
    <row r="48" spans="2:5">
      <c r="D48" s="2"/>
      <c r="E48" s="2"/>
    </row>
    <row r="49" spans="2:5">
      <c r="C49" s="2"/>
      <c r="D49" s="2"/>
    </row>
    <row r="50" spans="2:5" ht="18">
      <c r="B50" s="34" t="s">
        <v>28</v>
      </c>
      <c r="C50" s="34"/>
      <c r="D50" s="34"/>
      <c r="E50" s="34"/>
    </row>
    <row r="51" spans="2:5" ht="15">
      <c r="B51" s="35" t="s">
        <v>151</v>
      </c>
      <c r="C51" s="35"/>
      <c r="D51" s="35"/>
      <c r="E51" s="35"/>
    </row>
    <row r="52" spans="2:5">
      <c r="C52" s="2"/>
      <c r="D52" s="2"/>
    </row>
    <row r="53" spans="2:5" ht="15">
      <c r="B53" s="5" t="s">
        <v>133</v>
      </c>
      <c r="C53" s="2"/>
      <c r="D53" s="14" t="s">
        <v>134</v>
      </c>
      <c r="E53" s="14" t="s">
        <v>135</v>
      </c>
    </row>
    <row r="54" spans="2:5">
      <c r="B54" t="s">
        <v>136</v>
      </c>
      <c r="C54" s="15">
        <v>35</v>
      </c>
      <c r="D54" s="2">
        <v>450000</v>
      </c>
      <c r="E54" s="6">
        <f>+C54*D54</f>
        <v>15750000</v>
      </c>
    </row>
    <row r="55" spans="2:5">
      <c r="B55" t="s">
        <v>137</v>
      </c>
      <c r="C55" s="16">
        <v>30</v>
      </c>
      <c r="D55" s="2">
        <f>+D54</f>
        <v>450000</v>
      </c>
      <c r="E55" s="6">
        <f>+C55*D55</f>
        <v>13500000</v>
      </c>
    </row>
    <row r="56" spans="2:5">
      <c r="B56" t="s">
        <v>244</v>
      </c>
      <c r="C56" s="17">
        <v>0.4</v>
      </c>
      <c r="D56" s="2">
        <f>+D54</f>
        <v>450000</v>
      </c>
      <c r="E56" s="4">
        <f>-E55*C56</f>
        <v>-5400000</v>
      </c>
    </row>
    <row r="57" spans="2:5" ht="15">
      <c r="B57" s="5" t="s">
        <v>13</v>
      </c>
      <c r="C57" s="18"/>
      <c r="D57" s="7" t="s">
        <v>16</v>
      </c>
      <c r="E57" s="19">
        <f>SUM(E54:E56)</f>
        <v>23850000</v>
      </c>
    </row>
    <row r="58" spans="2:5" ht="15">
      <c r="B58" s="5"/>
      <c r="C58" s="2"/>
      <c r="D58" s="7"/>
    </row>
    <row r="59" spans="2:5">
      <c r="B59" t="s">
        <v>139</v>
      </c>
      <c r="C59" s="2"/>
      <c r="D59" s="2"/>
      <c r="E59" s="20">
        <f>+E57/D54</f>
        <v>53</v>
      </c>
    </row>
    <row r="60" spans="2:5">
      <c r="C60" s="6"/>
      <c r="E60" s="6"/>
    </row>
    <row r="61" spans="2:5" ht="15">
      <c r="B61" s="5" t="s">
        <v>140</v>
      </c>
      <c r="C61" s="3" t="s">
        <v>251</v>
      </c>
    </row>
    <row r="62" spans="2:5">
      <c r="B62" t="s">
        <v>154</v>
      </c>
      <c r="C62" s="2">
        <v>11</v>
      </c>
      <c r="E62" s="2">
        <f>-phase3execpay</f>
        <v>-767000</v>
      </c>
    </row>
    <row r="63" spans="2:5">
      <c r="B63" t="s">
        <v>246</v>
      </c>
      <c r="C63" s="2">
        <f>+phase3supportstaff</f>
        <v>14</v>
      </c>
      <c r="E63" s="2">
        <f>-phase3supportstaffpay</f>
        <v>-455000</v>
      </c>
    </row>
    <row r="64" spans="2:5">
      <c r="B64" t="s">
        <v>152</v>
      </c>
      <c r="C64" s="2">
        <f>+phase3employeeqty</f>
        <v>198</v>
      </c>
      <c r="E64" s="2">
        <f>-phase3employeepay</f>
        <v>-6435000</v>
      </c>
    </row>
    <row r="65" spans="2:5">
      <c r="B65" t="s">
        <v>149</v>
      </c>
      <c r="C65" s="2">
        <f>+phase3housing</f>
        <v>104.2</v>
      </c>
      <c r="E65" s="2">
        <f>-phase3seasonal</f>
        <v>-745030</v>
      </c>
    </row>
    <row r="66" spans="2:5">
      <c r="B66" t="s">
        <v>142</v>
      </c>
      <c r="D66" t="s">
        <v>16</v>
      </c>
      <c r="E66" s="2">
        <f>-C65*seasonalhousingcost</f>
        <v>-312600</v>
      </c>
    </row>
    <row r="67" spans="2:5">
      <c r="B67" t="s">
        <v>143</v>
      </c>
      <c r="C67" s="2"/>
      <c r="E67" s="2">
        <v>-80000</v>
      </c>
    </row>
    <row r="68" spans="2:5">
      <c r="B68" t="s">
        <v>144</v>
      </c>
      <c r="C68" s="2"/>
      <c r="E68" s="2">
        <v>-200000</v>
      </c>
    </row>
    <row r="69" spans="2:5">
      <c r="B69" t="s">
        <v>153</v>
      </c>
      <c r="C69" s="2"/>
      <c r="E69" s="4">
        <f>-10500000*0.11</f>
        <v>-1155000</v>
      </c>
    </row>
    <row r="70" spans="2:5" ht="15">
      <c r="B70" s="5" t="s">
        <v>13</v>
      </c>
      <c r="C70" s="2">
        <f>SUM(C62:C65)</f>
        <v>327.2</v>
      </c>
      <c r="D70" s="5"/>
      <c r="E70" s="7">
        <f>SUM(E62:E69)</f>
        <v>-10149630</v>
      </c>
    </row>
    <row r="71" spans="2:5">
      <c r="C71" s="2"/>
    </row>
    <row r="72" spans="2:5" ht="15">
      <c r="B72" s="5" t="s">
        <v>146</v>
      </c>
      <c r="C72" s="2"/>
      <c r="E72" s="7">
        <f>+E57+E70</f>
        <v>13700370</v>
      </c>
    </row>
    <row r="73" spans="2:5">
      <c r="C73" s="2"/>
    </row>
    <row r="74" spans="2:5">
      <c r="C74" s="2"/>
      <c r="D74" s="2"/>
    </row>
    <row r="75" spans="2:5" ht="18">
      <c r="B75" s="34" t="s">
        <v>38</v>
      </c>
      <c r="C75" s="34"/>
      <c r="D75" s="34"/>
      <c r="E75" s="34"/>
    </row>
    <row r="76" spans="2:5" ht="15">
      <c r="B76" s="35" t="s">
        <v>45</v>
      </c>
      <c r="C76" s="35"/>
      <c r="D76" s="35"/>
      <c r="E76" s="35"/>
    </row>
    <row r="77" spans="2:5">
      <c r="C77" s="2"/>
      <c r="D77" s="2"/>
    </row>
    <row r="78" spans="2:5" ht="15">
      <c r="B78" s="5" t="s">
        <v>133</v>
      </c>
      <c r="C78" s="2"/>
      <c r="D78" s="14" t="s">
        <v>134</v>
      </c>
      <c r="E78" s="14" t="s">
        <v>135</v>
      </c>
    </row>
    <row r="79" spans="2:5">
      <c r="B79" t="s">
        <v>136</v>
      </c>
      <c r="C79" s="15">
        <v>40</v>
      </c>
      <c r="D79" s="2">
        <v>800000</v>
      </c>
      <c r="E79" s="6">
        <f>+C79*D79</f>
        <v>32000000</v>
      </c>
    </row>
    <row r="80" spans="2:5">
      <c r="B80" t="s">
        <v>137</v>
      </c>
      <c r="C80" s="16">
        <v>30</v>
      </c>
      <c r="D80" s="2">
        <f>+D79</f>
        <v>800000</v>
      </c>
      <c r="E80" s="6">
        <f>+C80*D80</f>
        <v>24000000</v>
      </c>
    </row>
    <row r="81" spans="2:5">
      <c r="B81" t="s">
        <v>138</v>
      </c>
      <c r="C81" s="17">
        <v>0.4</v>
      </c>
      <c r="D81" s="2">
        <f>+D79</f>
        <v>800000</v>
      </c>
      <c r="E81" s="4">
        <f>-E80*C81</f>
        <v>-9600000</v>
      </c>
    </row>
    <row r="82" spans="2:5" ht="15">
      <c r="B82" s="5" t="s">
        <v>13</v>
      </c>
      <c r="C82" s="18"/>
      <c r="D82" s="7" t="s">
        <v>16</v>
      </c>
      <c r="E82" s="19">
        <f>SUM(E79:E81)</f>
        <v>46400000</v>
      </c>
    </row>
    <row r="83" spans="2:5">
      <c r="D83" s="2"/>
    </row>
    <row r="84" spans="2:5">
      <c r="C84" s="6"/>
      <c r="E84" s="6"/>
    </row>
    <row r="85" spans="2:5" ht="15">
      <c r="B85" s="5" t="s">
        <v>140</v>
      </c>
      <c r="C85" s="3" t="s">
        <v>251</v>
      </c>
    </row>
    <row r="86" spans="2:5">
      <c r="B86" t="s">
        <v>154</v>
      </c>
      <c r="C86" s="2">
        <v>11</v>
      </c>
      <c r="E86" s="2">
        <f>-phase4execpay</f>
        <v>-832000</v>
      </c>
    </row>
    <row r="87" spans="2:5">
      <c r="B87" t="s">
        <v>246</v>
      </c>
      <c r="C87" s="2">
        <f>+phase4supportstaff</f>
        <v>19</v>
      </c>
      <c r="E87" s="2">
        <f>-phase4supportstaffpay</f>
        <v>-617500</v>
      </c>
    </row>
    <row r="88" spans="2:5">
      <c r="B88" t="s">
        <v>152</v>
      </c>
      <c r="C88" s="2">
        <f>+phase4employeeqty</f>
        <v>309.60000000000002</v>
      </c>
      <c r="E88" s="2">
        <f>-phase4employeepay</f>
        <v>-10062000</v>
      </c>
    </row>
    <row r="89" spans="2:5">
      <c r="B89" t="s">
        <v>149</v>
      </c>
      <c r="C89" s="2">
        <f>+phase4housing</f>
        <v>153.19999999999999</v>
      </c>
      <c r="E89" s="2">
        <f>-phase4seasonal</f>
        <v>-1095379.9999999998</v>
      </c>
    </row>
    <row r="90" spans="2:5">
      <c r="B90" t="s">
        <v>142</v>
      </c>
      <c r="D90" t="s">
        <v>16</v>
      </c>
      <c r="E90" s="2">
        <f>-C89*seasonalhousingcost</f>
        <v>-459599.99999999994</v>
      </c>
    </row>
    <row r="91" spans="2:5">
      <c r="B91" t="s">
        <v>143</v>
      </c>
      <c r="C91" s="2"/>
      <c r="E91" s="2">
        <v>-120000</v>
      </c>
    </row>
    <row r="92" spans="2:5">
      <c r="B92" t="s">
        <v>144</v>
      </c>
      <c r="C92" s="2"/>
      <c r="E92" s="2">
        <v>-300000</v>
      </c>
    </row>
    <row r="93" spans="2:5">
      <c r="B93" t="s">
        <v>155</v>
      </c>
      <c r="C93" s="2"/>
      <c r="E93" s="4">
        <f>-21500000*0.11</f>
        <v>-2365000</v>
      </c>
    </row>
    <row r="94" spans="2:5" ht="15">
      <c r="B94" s="5" t="s">
        <v>13</v>
      </c>
      <c r="C94" s="2">
        <f>SUM(C86:C89)</f>
        <v>492.8</v>
      </c>
      <c r="D94" s="5"/>
      <c r="E94" s="7">
        <f>SUM(E86:E93)</f>
        <v>-15851480</v>
      </c>
    </row>
    <row r="95" spans="2:5">
      <c r="C95" s="2"/>
    </row>
    <row r="96" spans="2:5" ht="15">
      <c r="B96" s="5" t="s">
        <v>146</v>
      </c>
      <c r="C96" s="2"/>
      <c r="E96" s="7">
        <f>+E82+E94</f>
        <v>30548520</v>
      </c>
    </row>
    <row r="97" spans="2:5">
      <c r="C97" s="2"/>
    </row>
    <row r="98" spans="2:5">
      <c r="C98" s="2"/>
      <c r="D98" s="2"/>
    </row>
    <row r="99" spans="2:5">
      <c r="B99" t="s">
        <v>14</v>
      </c>
      <c r="C99" s="2"/>
      <c r="D99" s="2"/>
    </row>
    <row r="100" spans="2:5">
      <c r="C100" s="2"/>
      <c r="D100" s="2"/>
    </row>
    <row r="101" spans="2:5" ht="15">
      <c r="B101" s="5" t="s">
        <v>133</v>
      </c>
      <c r="D101" s="2"/>
    </row>
    <row r="102" spans="2:5">
      <c r="B102" t="s">
        <v>252</v>
      </c>
      <c r="E102" s="2">
        <f>+phase1income</f>
        <v>3840000</v>
      </c>
    </row>
    <row r="103" spans="2:5">
      <c r="B103" t="s">
        <v>253</v>
      </c>
      <c r="E103" s="2">
        <f>+phase2income</f>
        <v>12900000</v>
      </c>
    </row>
    <row r="104" spans="2:5">
      <c r="B104" t="s">
        <v>254</v>
      </c>
      <c r="E104" s="2">
        <f>+phase3income</f>
        <v>23850000</v>
      </c>
    </row>
    <row r="105" spans="2:5">
      <c r="B105" t="s">
        <v>255</v>
      </c>
      <c r="E105" s="4">
        <f>+phase4income</f>
        <v>46400000</v>
      </c>
    </row>
    <row r="106" spans="2:5" ht="15">
      <c r="B106" s="5" t="s">
        <v>256</v>
      </c>
      <c r="C106" s="5"/>
      <c r="D106" s="5"/>
      <c r="E106" s="7">
        <f>SUM(E102:E105)</f>
        <v>86990000</v>
      </c>
    </row>
    <row r="108" spans="2:5" ht="15">
      <c r="B108" s="5" t="s">
        <v>148</v>
      </c>
    </row>
    <row r="109" spans="2:5">
      <c r="B109" t="s">
        <v>252</v>
      </c>
      <c r="E109" s="2">
        <f>+phase1expenses</f>
        <v>-3192130</v>
      </c>
    </row>
    <row r="110" spans="2:5">
      <c r="B110" t="s">
        <v>253</v>
      </c>
      <c r="E110" s="2">
        <f>+phase2expenses</f>
        <v>-6716330</v>
      </c>
    </row>
    <row r="111" spans="2:5">
      <c r="B111" t="s">
        <v>254</v>
      </c>
      <c r="E111" s="2">
        <f>+phase3expenses</f>
        <v>-10149630</v>
      </c>
    </row>
    <row r="112" spans="2:5">
      <c r="B112" t="s">
        <v>255</v>
      </c>
      <c r="E112" s="2">
        <f>+phase4expenses</f>
        <v>-15851480</v>
      </c>
    </row>
    <row r="113" spans="2:5" ht="15">
      <c r="B113" s="5" t="s">
        <v>256</v>
      </c>
      <c r="E113" s="7">
        <f>SUM(E109:E112)</f>
        <v>-35909570</v>
      </c>
    </row>
    <row r="114" spans="2:5">
      <c r="E114" s="2"/>
    </row>
    <row r="115" spans="2:5" ht="15">
      <c r="B115" s="5" t="s">
        <v>146</v>
      </c>
      <c r="E115" s="7">
        <f>+E106+E113</f>
        <v>51080430</v>
      </c>
    </row>
    <row r="116" spans="2:5">
      <c r="E116" s="2"/>
    </row>
    <row r="117" spans="2:5">
      <c r="E117" s="2"/>
    </row>
    <row r="118" spans="2:5" ht="15">
      <c r="B118" s="5" t="s">
        <v>261</v>
      </c>
      <c r="E118" s="2"/>
    </row>
    <row r="119" spans="2:5">
      <c r="B119" t="s">
        <v>258</v>
      </c>
      <c r="E119" s="2">
        <f>+TotalFinaced</f>
        <v>24391000</v>
      </c>
    </row>
    <row r="120" spans="2:5">
      <c r="B120" t="s">
        <v>257</v>
      </c>
      <c r="E120" s="4">
        <f>+TotalDebtReduction</f>
        <v>-3027689.9284800002</v>
      </c>
    </row>
    <row r="121" spans="2:5">
      <c r="B121" t="s">
        <v>259</v>
      </c>
      <c r="E121" s="2">
        <f>SUM(E119:E120)</f>
        <v>21363310.071520001</v>
      </c>
    </row>
    <row r="122" spans="2:5">
      <c r="E122" s="2"/>
    </row>
    <row r="123" spans="2:5" ht="15">
      <c r="B123" s="5" t="s">
        <v>260</v>
      </c>
      <c r="C123" s="5"/>
      <c r="D123" s="5"/>
      <c r="E123" s="7">
        <f>+E115-E121</f>
        <v>29717119.928479999</v>
      </c>
    </row>
  </sheetData>
  <mergeCells count="7">
    <mergeCell ref="B1:E1"/>
    <mergeCell ref="B76:E76"/>
    <mergeCell ref="B6:E6"/>
    <mergeCell ref="B27:E27"/>
    <mergeCell ref="B50:E50"/>
    <mergeCell ref="B51:E51"/>
    <mergeCell ref="B75:E7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G25"/>
  <sheetViews>
    <sheetView tabSelected="1" topLeftCell="A3" workbookViewId="0">
      <selection activeCell="B4" sqref="B4"/>
    </sheetView>
  </sheetViews>
  <sheetFormatPr defaultRowHeight="14.25"/>
  <cols>
    <col min="1" max="1" width="8.625" customWidth="1"/>
    <col min="2" max="2" width="23.125" customWidth="1"/>
    <col min="3" max="3" width="13" customWidth="1"/>
    <col min="4" max="4" width="11.5" customWidth="1"/>
    <col min="5" max="5" width="11" customWidth="1"/>
    <col min="6" max="6" width="12.25" customWidth="1"/>
    <col min="7" max="7" width="10.875" customWidth="1"/>
  </cols>
  <sheetData>
    <row r="1" spans="2:7" ht="18">
      <c r="B1" s="34" t="s">
        <v>166</v>
      </c>
      <c r="C1" s="34"/>
      <c r="D1" s="34"/>
      <c r="E1" s="34"/>
      <c r="F1" s="34"/>
      <c r="G1" s="34"/>
    </row>
    <row r="3" spans="2:7" ht="15">
      <c r="B3" s="35" t="s">
        <v>167</v>
      </c>
      <c r="C3" s="35"/>
      <c r="D3" s="35"/>
      <c r="E3" s="35"/>
      <c r="F3" s="35"/>
      <c r="G3" s="35"/>
    </row>
    <row r="5" spans="2:7" ht="15">
      <c r="C5" s="22" t="s">
        <v>26</v>
      </c>
      <c r="D5" s="22" t="s">
        <v>27</v>
      </c>
      <c r="E5" s="22" t="s">
        <v>28</v>
      </c>
      <c r="F5" s="22" t="s">
        <v>38</v>
      </c>
      <c r="G5" s="22" t="s">
        <v>135</v>
      </c>
    </row>
    <row r="6" spans="2:7">
      <c r="B6" t="s">
        <v>124</v>
      </c>
      <c r="C6" s="2">
        <f>+phase1budget</f>
        <v>4287000</v>
      </c>
      <c r="D6" s="2">
        <f>+phase2budget</f>
        <v>3800000</v>
      </c>
      <c r="E6" s="2">
        <f>+phase3budget</f>
        <v>5376000</v>
      </c>
      <c r="F6" s="2">
        <f>+phase4budget</f>
        <v>8578000</v>
      </c>
      <c r="G6" s="2">
        <f>SUM(C6:F6)</f>
        <v>22041000</v>
      </c>
    </row>
    <row r="7" spans="2:7">
      <c r="B7" t="s">
        <v>24</v>
      </c>
      <c r="C7" s="4">
        <f>+phase1contingency</f>
        <v>500000</v>
      </c>
      <c r="D7" s="4">
        <f>+phase2contingency</f>
        <v>500000</v>
      </c>
      <c r="E7" s="4">
        <f>+phase3contingency</f>
        <v>500000</v>
      </c>
      <c r="F7" s="4">
        <f>+phase4contingency</f>
        <v>850000</v>
      </c>
      <c r="G7" s="4">
        <f>SUM(C7:F7)</f>
        <v>2350000</v>
      </c>
    </row>
    <row r="8" spans="2:7">
      <c r="B8" t="s">
        <v>135</v>
      </c>
      <c r="C8" s="2">
        <f>+C6+C7</f>
        <v>4787000</v>
      </c>
      <c r="D8" s="2">
        <f>+D6+D7</f>
        <v>4300000</v>
      </c>
      <c r="E8" s="2">
        <f>+E6+E7</f>
        <v>5876000</v>
      </c>
      <c r="F8" s="2">
        <f>+F6+F7</f>
        <v>9428000</v>
      </c>
      <c r="G8" s="2">
        <f>SUM(C8:F8)</f>
        <v>24391000</v>
      </c>
    </row>
    <row r="9" spans="2:7">
      <c r="C9" s="2"/>
      <c r="D9" s="2"/>
      <c r="E9" s="2"/>
      <c r="F9" s="2"/>
    </row>
    <row r="10" spans="2:7">
      <c r="B10" t="s">
        <v>157</v>
      </c>
      <c r="C10" s="2">
        <f>+C8</f>
        <v>4787000</v>
      </c>
      <c r="D10" s="2">
        <f>+C15</f>
        <v>4499780</v>
      </c>
      <c r="E10" s="2">
        <f>+D15</f>
        <v>8271793.2000000002</v>
      </c>
      <c r="F10" s="2">
        <f>+E15</f>
        <v>13298925.607999999</v>
      </c>
    </row>
    <row r="11" spans="2:7">
      <c r="B11" t="s">
        <v>168</v>
      </c>
      <c r="C11" s="4">
        <v>0</v>
      </c>
      <c r="D11" s="4">
        <f>+D8</f>
        <v>4300000</v>
      </c>
      <c r="E11" s="4">
        <f>+E8</f>
        <v>5876000</v>
      </c>
      <c r="F11" s="4">
        <f>+F8</f>
        <v>9428000</v>
      </c>
    </row>
    <row r="12" spans="2:7">
      <c r="B12" t="s">
        <v>159</v>
      </c>
      <c r="C12" s="2">
        <f>SUM(C10:C11)</f>
        <v>4787000</v>
      </c>
      <c r="D12" s="2">
        <f>SUM(D10:D11)</f>
        <v>8799780</v>
      </c>
      <c r="E12" s="2">
        <f>SUM(E10:E11)</f>
        <v>14147793.199999999</v>
      </c>
      <c r="F12" s="2">
        <f>SUM(F10:F11)</f>
        <v>22726925.607999999</v>
      </c>
    </row>
    <row r="13" spans="2:7">
      <c r="C13" s="2"/>
      <c r="D13" s="2"/>
      <c r="E13" s="2"/>
      <c r="F13" s="2"/>
    </row>
    <row r="14" spans="2:7">
      <c r="B14" t="s">
        <v>158</v>
      </c>
      <c r="C14" s="2">
        <f>-C12*0.06</f>
        <v>-287220</v>
      </c>
      <c r="D14" s="2">
        <f>-D12*0.06</f>
        <v>-527986.79999999993</v>
      </c>
      <c r="E14" s="2">
        <f>-E12*0.06</f>
        <v>-848867.59199999995</v>
      </c>
      <c r="F14" s="2">
        <f>-F12*0.06</f>
        <v>-1363615.53648</v>
      </c>
      <c r="G14" s="2">
        <f>SUM(C14:F14)</f>
        <v>-3027689.9284800002</v>
      </c>
    </row>
    <row r="15" spans="2:7">
      <c r="B15" t="s">
        <v>160</v>
      </c>
      <c r="C15" s="2">
        <f>+C12+C14</f>
        <v>4499780</v>
      </c>
      <c r="D15" s="2">
        <f>+D12+D14</f>
        <v>8271793.2000000002</v>
      </c>
      <c r="E15" s="2">
        <f>+E12+E14</f>
        <v>13298925.607999999</v>
      </c>
      <c r="F15" s="2">
        <f>+F12+F14</f>
        <v>21363310.071520001</v>
      </c>
    </row>
    <row r="16" spans="2:7">
      <c r="C16" s="2"/>
      <c r="D16" s="2"/>
      <c r="E16" s="2"/>
      <c r="F16" s="2"/>
    </row>
    <row r="17" spans="2:6">
      <c r="B17" t="s">
        <v>161</v>
      </c>
      <c r="C17" s="2">
        <f>+phase1income</f>
        <v>3840000</v>
      </c>
      <c r="D17" s="2">
        <f>+phase2income</f>
        <v>12900000</v>
      </c>
      <c r="E17" s="2">
        <f>+phase3income</f>
        <v>23850000</v>
      </c>
      <c r="F17" s="2">
        <f>+phase4income</f>
        <v>46400000</v>
      </c>
    </row>
    <row r="18" spans="2:6">
      <c r="B18" t="s">
        <v>162</v>
      </c>
      <c r="C18" s="2">
        <f>+phase1expenses</f>
        <v>-3192130</v>
      </c>
      <c r="D18" s="2">
        <f>+phase2expenses</f>
        <v>-6716330</v>
      </c>
      <c r="E18" s="2">
        <f>+phase3expenses</f>
        <v>-10149630</v>
      </c>
      <c r="F18" s="2">
        <f>+phase4expenses</f>
        <v>-15851480</v>
      </c>
    </row>
    <row r="19" spans="2:6">
      <c r="B19" t="s">
        <v>163</v>
      </c>
      <c r="C19" s="2">
        <f>SUM(C17:C18)</f>
        <v>647870</v>
      </c>
      <c r="D19" s="2">
        <f>SUM(D17:D18)</f>
        <v>6183670</v>
      </c>
      <c r="E19" s="2">
        <f>SUM(E17:E18)</f>
        <v>13700370</v>
      </c>
      <c r="F19" s="2">
        <f>SUM(F17:F18)</f>
        <v>30548520</v>
      </c>
    </row>
    <row r="20" spans="2:6">
      <c r="C20" s="2"/>
      <c r="D20" s="2"/>
      <c r="E20" s="2"/>
      <c r="F20" s="2"/>
    </row>
    <row r="21" spans="2:6">
      <c r="B21" t="s">
        <v>164</v>
      </c>
      <c r="C21" s="2">
        <v>0</v>
      </c>
      <c r="D21" s="2">
        <f>+C23</f>
        <v>647870</v>
      </c>
      <c r="E21" s="2">
        <f>+D23</f>
        <v>6831540</v>
      </c>
      <c r="F21" s="2">
        <f>+E23</f>
        <v>20531910</v>
      </c>
    </row>
    <row r="22" spans="2:6">
      <c r="B22" t="s">
        <v>165</v>
      </c>
      <c r="C22" s="4">
        <f>+C19</f>
        <v>647870</v>
      </c>
      <c r="D22" s="4">
        <f>+D19</f>
        <v>6183670</v>
      </c>
      <c r="E22" s="4">
        <f>+E19</f>
        <v>13700370</v>
      </c>
      <c r="F22" s="4">
        <f>+F19</f>
        <v>30548520</v>
      </c>
    </row>
    <row r="23" spans="2:6">
      <c r="B23" t="s">
        <v>147</v>
      </c>
      <c r="C23" s="2">
        <f>SUM(C21:C22)</f>
        <v>647870</v>
      </c>
      <c r="D23" s="2">
        <f>SUM(D21:D22)</f>
        <v>6831540</v>
      </c>
      <c r="E23" s="2">
        <f>SUM(E21:E22)</f>
        <v>20531910</v>
      </c>
      <c r="F23" s="2">
        <f>SUM(F21:F22)</f>
        <v>51080430</v>
      </c>
    </row>
    <row r="24" spans="2:6">
      <c r="C24" s="2"/>
      <c r="D24" s="2"/>
      <c r="E24" s="2"/>
      <c r="F24" s="2"/>
    </row>
    <row r="25" spans="2:6">
      <c r="C25" s="2"/>
      <c r="D25" s="2"/>
      <c r="E25" s="2"/>
      <c r="F25" s="2"/>
    </row>
  </sheetData>
  <mergeCells count="2">
    <mergeCell ref="B3:G3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51</vt:i4>
      </vt:variant>
    </vt:vector>
  </HeadingPairs>
  <TitlesOfParts>
    <vt:vector size="57" baseType="lpstr">
      <vt:lpstr>Production</vt:lpstr>
      <vt:lpstr>Seasonal</vt:lpstr>
      <vt:lpstr>staff</vt:lpstr>
      <vt:lpstr>employee</vt:lpstr>
      <vt:lpstr>Income &amp; Expenses</vt:lpstr>
      <vt:lpstr>Debt Service</vt:lpstr>
      <vt:lpstr>phase1budget</vt:lpstr>
      <vt:lpstr>phase1contingency</vt:lpstr>
      <vt:lpstr>phase1employeepay</vt:lpstr>
      <vt:lpstr>phase1employeeqty</vt:lpstr>
      <vt:lpstr>phase1execpay</vt:lpstr>
      <vt:lpstr>phase1expenses</vt:lpstr>
      <vt:lpstr>phase1housing</vt:lpstr>
      <vt:lpstr>phase1income</vt:lpstr>
      <vt:lpstr>phase1seasonal</vt:lpstr>
      <vt:lpstr>phase1supportstaff</vt:lpstr>
      <vt:lpstr>phase1supportstaffpay</vt:lpstr>
      <vt:lpstr>phase1visitors</vt:lpstr>
      <vt:lpstr>phase2budget</vt:lpstr>
      <vt:lpstr>phase2contingency</vt:lpstr>
      <vt:lpstr>phase2employeepay</vt:lpstr>
      <vt:lpstr>phase2employeeqty</vt:lpstr>
      <vt:lpstr>phase2execpay</vt:lpstr>
      <vt:lpstr>phase2expenses</vt:lpstr>
      <vt:lpstr>phase2housing</vt:lpstr>
      <vt:lpstr>phase2income</vt:lpstr>
      <vt:lpstr>phase2seasonal</vt:lpstr>
      <vt:lpstr>phase2supportstaff</vt:lpstr>
      <vt:lpstr>phase2supportstaffpay</vt:lpstr>
      <vt:lpstr>phase2visitors</vt:lpstr>
      <vt:lpstr>phase3budget</vt:lpstr>
      <vt:lpstr>phase3contingency</vt:lpstr>
      <vt:lpstr>phase3employeepay</vt:lpstr>
      <vt:lpstr>phase3employeeqty</vt:lpstr>
      <vt:lpstr>phase3execpay</vt:lpstr>
      <vt:lpstr>phase3expenses</vt:lpstr>
      <vt:lpstr>phase3housing</vt:lpstr>
      <vt:lpstr>phase3income</vt:lpstr>
      <vt:lpstr>phase3seasonal</vt:lpstr>
      <vt:lpstr>phase3supportstaff</vt:lpstr>
      <vt:lpstr>phase3supportstaffpay</vt:lpstr>
      <vt:lpstr>phase3visitors</vt:lpstr>
      <vt:lpstr>phase4budget</vt:lpstr>
      <vt:lpstr>phase4contingency</vt:lpstr>
      <vt:lpstr>phase4employeepay</vt:lpstr>
      <vt:lpstr>phase4employeeqty</vt:lpstr>
      <vt:lpstr>phase4execpay</vt:lpstr>
      <vt:lpstr>phase4expenses</vt:lpstr>
      <vt:lpstr>phase4housing</vt:lpstr>
      <vt:lpstr>phase4income</vt:lpstr>
      <vt:lpstr>phase4seasonal</vt:lpstr>
      <vt:lpstr>phase4supportstaff</vt:lpstr>
      <vt:lpstr>phase4supportstaffpay</vt:lpstr>
      <vt:lpstr>phase4visitors</vt:lpstr>
      <vt:lpstr>seasonalhousingcost</vt:lpstr>
      <vt:lpstr>TotalDebtReduction</vt:lpstr>
      <vt:lpstr>TotalFinaced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</dc:creator>
  <cp:lastModifiedBy>Marv</cp:lastModifiedBy>
  <cp:lastPrinted>2012-03-11T22:19:05Z</cp:lastPrinted>
  <dcterms:created xsi:type="dcterms:W3CDTF">2011-10-04T21:04:34Z</dcterms:created>
  <dcterms:modified xsi:type="dcterms:W3CDTF">2012-03-12T03:46:15Z</dcterms:modified>
</cp:coreProperties>
</file>